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155e7c4fd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20649448612044d0"/>
    <x:sheet xmlns:r="http://schemas.openxmlformats.org/officeDocument/2006/relationships" name="COCKPIT" sheetId="2" r:id="Rb43ce807b2b44d20"/>
    <x:sheet xmlns:r="http://schemas.openxmlformats.org/officeDocument/2006/relationships" name="STEUERUNG" sheetId="3" r:id="R49fb614c41554d5f"/>
    <x:sheet xmlns:r="http://schemas.openxmlformats.org/officeDocument/2006/relationships" name="FORDERUNGEN" sheetId="4" r:id="R0a03b3421b4e4323"/>
    <x:sheet xmlns:r="http://schemas.openxmlformats.org/officeDocument/2006/relationships" name="SONDERZAHLUNGEN" sheetId="5" r:id="Rb34a07c3297e4ab4"/>
    <x:sheet xmlns:r="http://schemas.openxmlformats.org/officeDocument/2006/relationships" name="MONATSBUDGET" sheetId="6" r:id="Rcb5cf96ed3a640df"/>
    <x:sheet xmlns:r="http://schemas.openxmlformats.org/officeDocument/2006/relationships" name="SCHNEEBALL" sheetId="7" r:id="Rf1a69eb733ca49c9"/>
    <x:sheet xmlns:r="http://schemas.openxmlformats.org/officeDocument/2006/relationships" name="ZINS-LAWINE" sheetId="8" r:id="R444033421c8a4365"/>
    <x:sheet xmlns:r="http://schemas.openxmlformats.org/officeDocument/2006/relationships" name="VERGLEICH" sheetId="9" r:id="R177bbd50c35e4017"/>
    <x:sheet xmlns:r="http://schemas.openxmlformats.org/officeDocument/2006/relationships" name="GLÄUBIGER-CHECK" sheetId="10" r:id="Rc8bc51f3440e40eb"/>
    <x:sheet xmlns:r="http://schemas.openxmlformats.org/officeDocument/2006/relationships" name="HILFE" sheetId="11" r:id="R8ddf6fdd149a4e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 yyyy"/>
    <x:numFmt numFmtId="201" formatCode="#,##0.00 &quot;€&quot;;[Red](#,##0.00 &quot;€&quot;);&quot;–&quot;"/>
    <x:numFmt numFmtId="202" formatCode="#,##0;[Red](#,##0);&quot;–&quot;"/>
    <x:numFmt numFmtId="203" formatCode="0.00%;[Red](0.00%);&quot;–&quot;"/>
    <x:numFmt numFmtId="204" formatCode="dd.mm.yyyy"/>
  </x:numFmts>
  <x:fonts count="13">
    <x:font>
      <x:sz val="11"/>
      <x:name val="Carlito"/>
    </x:font>
    <x:font>
      <x:b/>
      <x:sz val="17"/>
      <x:color rgb="FFFFFFFF"/>
      <x:name val="Carlito"/>
    </x:font>
    <x:font>
      <x:sz val="10"/>
      <x:color rgb="FF70686B"/>
      <x:name val="Carlito"/>
    </x:font>
    <x:font>
      <x:b/>
      <x:sz val="10"/>
      <x:color rgb="FFFFFFFF"/>
      <x:name val="Carlito"/>
    </x:font>
    <x:font>
      <x:b/>
      <x:sz val="11"/>
      <x:color rgb="FF6D2929"/>
      <x:name val="Carlito"/>
    </x:font>
    <x:font>
      <x:sz val="10"/>
      <x:color rgb="FF29252A"/>
      <x:name val="Carlito"/>
    </x:font>
    <x:font>
      <x:sz val="11"/>
      <x:color rgb="FF2154A3"/>
      <x:name val="Carlito"/>
    </x:font>
    <x:font>
      <x:b/>
      <x:sz val="12"/>
      <x:color rgb="FF2154A3"/>
      <x:name val="Carlito"/>
    </x:font>
    <x:font>
      <x:b/>
      <x:sz val="12"/>
      <x:color rgb="FF29252A"/>
      <x:name val="Carlito"/>
    </x:font>
    <x:font>
      <x:sz val="11"/>
      <x:color rgb="FF29252A"/>
      <x:name val="Carlito"/>
    </x:font>
    <x:font>
      <x:b/>
      <x:sz val="11"/>
      <x:color rgb="FFFFFFFF"/>
      <x:name val="Carlito"/>
    </x:font>
    <x:font>
      <x:b/>
      <x:sz val="10"/>
      <x:color rgb="FF6D2929"/>
      <x:name val="Carlito"/>
    </x:font>
    <x:font>
      <x:b/>
      <x:sz val="21"/>
      <x:color rgb="FF29252A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6D2929"/>
      </x:patternFill>
    </x:fill>
    <x:fill>
      <x:patternFill patternType="solid">
        <x:fgColor rgb="FFFFF9F7"/>
      </x:patternFill>
    </x:fill>
    <x:fill>
      <x:patternFill patternType="solid">
        <x:fgColor rgb="FF432020"/>
      </x:patternFill>
    </x:fill>
    <x:fill>
      <x:patternFill patternType="solid">
        <x:fgColor rgb="FFFFF0F1"/>
      </x:patternFill>
    </x:fill>
    <x:fill>
      <x:patternFill patternType="solid">
        <x:fgColor rgb="FFF6F3F3"/>
      </x:patternFill>
    </x:fill>
    <x:fill>
      <x:patternFill patternType="solid">
        <x:fgColor rgb="FFEDF4FF"/>
      </x:patternFill>
    </x:fill>
  </x:fills>
  <x:borders count="2">
    <x:border/>
    <x:border/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6" fillId="7" borderId="0" xfId="0" applyNumberFormat="1" applyFont="1" applyFill="1" applyBorder="1"/>
    <x:xf numFmtId="0" fontId="6" fillId="7" borderId="1" xfId="0" applyNumberFormat="1" applyFont="1" applyFill="1" applyBorder="1"/>
    <x:xf numFmtId="200" fontId="6" fillId="7" borderId="0" xfId="0" applyNumberFormat="1" applyFont="1" applyFill="1" applyBorder="1"/>
    <x:xf numFmtId="200" fontId="6" fillId="7" borderId="1" xfId="0" applyNumberFormat="1" applyFont="1" applyFill="1" applyBorder="1"/>
    <x:xf numFmtId="200" fontId="7" fillId="7" borderId="0" xfId="0" applyNumberFormat="1" applyFont="1" applyFill="1" applyBorder="1"/>
    <x:xf numFmtId="200" fontId="7" fillId="7" borderId="1" xfId="0" applyNumberFormat="1" applyFont="1" applyFill="1" applyBorder="1"/>
    <x:xf numFmtId="201" fontId="6" fillId="7" borderId="0" xfId="0" applyNumberFormat="1" applyFont="1" applyFill="1" applyBorder="1"/>
    <x:xf numFmtId="201" fontId="6" fillId="7" borderId="1" xfId="0" applyNumberFormat="1" applyFont="1" applyFill="1" applyBorder="1"/>
    <x:xf numFmtId="201" fontId="7" fillId="7" borderId="0" xfId="0" applyNumberFormat="1" applyFont="1" applyFill="1" applyBorder="1"/>
    <x:xf numFmtId="201" fontId="7" fillId="7" borderId="1" xfId="0" applyNumberFormat="1" applyFont="1" applyFill="1" applyBorder="1"/>
    <x:xf numFmtId="0" fontId="7" fillId="7" borderId="0" xfId="0" applyNumberFormat="1" applyFont="1" applyFill="1" applyBorder="1"/>
    <x:xf numFmtId="0" fontId="7" fillId="7" borderId="1" xfId="0" applyNumberFormat="1" applyFont="1" applyFill="1" applyBorder="1"/>
    <x:xf numFmtId="202" fontId="6" fillId="7" borderId="0" xfId="0" applyNumberFormat="1" applyFont="1" applyFill="1" applyBorder="1"/>
    <x:xf numFmtId="202" fontId="6" fillId="7" borderId="1" xfId="0" applyNumberFormat="1" applyFont="1" applyFill="1" applyBorder="1"/>
    <x:xf numFmtId="202" fontId="7" fillId="7" borderId="0" xfId="0" applyNumberFormat="1" applyFont="1" applyFill="1" applyBorder="1"/>
    <x:xf numFmtId="202" fontId="7" fillId="7" borderId="1" xfId="0" applyNumberFormat="1" applyFont="1" applyFill="1" applyBorder="1"/>
    <x:xf numFmtId="202" fontId="7" fillId="6" borderId="0" xfId="0" applyNumberFormat="1" applyFont="1" applyFill="1" applyBorder="1"/>
    <x:xf numFmtId="202" fontId="7" fillId="6" borderId="1" xfId="0" applyNumberFormat="1" applyFont="1" applyFill="1" applyBorder="1"/>
    <x:xf numFmtId="202" fontId="8" fillId="6" borderId="0" xfId="0" applyNumberFormat="1" applyFont="1" applyFill="1" applyBorder="1"/>
    <x:xf numFmtId="202" fontId="8" fillId="6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3" fontId="6" fillId="7" borderId="0" xfId="0" applyNumberFormat="1" applyFont="1" applyFill="1" applyBorder="1"/>
    <x:xf numFmtId="203" fontId="6" fillId="7" borderId="1" xfId="0" applyNumberFormat="1" applyFont="1" applyFill="1" applyBorder="1"/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202" fontId="9" fillId="6" borderId="0" xfId="0" applyNumberFormat="1" applyFont="1" applyFill="1" applyBorder="1"/>
    <x:xf numFmtId="202" fontId="9" fillId="6" borderId="1" xfId="0" applyNumberFormat="1" applyFont="1" applyFill="1" applyBorder="1"/>
    <x:xf numFmtId="201" fontId="9" fillId="6" borderId="0" xfId="0" applyNumberFormat="1" applyFont="1" applyFill="1" applyBorder="1"/>
    <x:xf numFmtId="201" fontId="9" fillId="6" borderId="1" xfId="0" applyNumberFormat="1" applyFont="1" applyFill="1" applyBorder="1"/>
    <x:xf numFmtId="204" fontId="6" fillId="7" borderId="0" xfId="0" applyNumberFormat="1" applyFont="1" applyFill="1" applyBorder="1"/>
    <x:xf numFmtId="204" fontId="6" fillId="7" borderId="1" xfId="0" applyNumberFormat="1" applyFont="1" applyFill="1" applyBorder="1"/>
    <x:xf numFmtId="200" fontId="9" fillId="6" borderId="0" xfId="0" applyNumberFormat="1" applyFont="1" applyFill="1" applyBorder="1"/>
    <x:xf numFmtId="200" fontId="9" fillId="6" borderId="1" xfId="0" applyNumberFormat="1" applyFont="1" applyFill="1" applyBorder="1"/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wrapText="1"/>
    </x:xf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1" fillId="5" borderId="0" xfId="0" applyNumberFormat="1" applyFont="1" applyFill="1" applyBorder="1"/>
    <x:xf numFmtId="0" fontId="11" fillId="5" borderId="1" xfId="0" applyNumberFormat="1" applyFont="1" applyFill="1" applyBorder="1"/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vertical="center"/>
    </x:xf>
    <x:xf numFmtId="0" fontId="12" fillId="3" borderId="1" xfId="0" applyNumberFormat="1" applyFont="1" applyFill="1" applyBorder="1"/>
    <x:xf numFmtId="0" fontId="12" fillId="3" borderId="1" xfId="0" applyNumberFormat="1" applyFont="1" applyFill="1" applyBorder="1" applyAlignment="1">
      <x:alignment vertical="center"/>
    </x:xf>
    <x:xf numFmtId="201" fontId="12" fillId="3" borderId="0" xfId="0" applyNumberFormat="1" applyFont="1" applyFill="1" applyBorder="1" applyAlignment="1">
      <x:alignment vertical="center"/>
    </x:xf>
    <x:xf numFmtId="201" fontId="12" fillId="3" borderId="1" xfId="0" applyNumberFormat="1" applyFont="1" applyFill="1" applyBorder="1" applyAlignment="1">
      <x:alignment vertical="center"/>
    </x:xf>
    <x:xf numFmtId="202" fontId="12" fillId="3" borderId="0" xfId="0" applyNumberFormat="1" applyFont="1" applyFill="1" applyBorder="1" applyAlignment="1">
      <x:alignment vertical="center"/>
    </x:xf>
    <x:xf numFmtId="202" fontId="12" fillId="3" borderId="1" xfId="0" applyNumberFormat="1" applyFont="1" applyFill="1" applyBorder="1" applyAlignment="1">
      <x:alignment vertical="center"/>
    </x:xf>
    <x:xf numFmtId="200" fontId="12" fillId="3" borderId="0" xfId="0" applyNumberFormat="1" applyFont="1" applyFill="1" applyBorder="1" applyAlignment="1">
      <x:alignment vertical="center"/>
    </x:xf>
    <x:xf numFmtId="200" fontId="12" fillId="3" borderId="1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/>
    <x:xf numFmtId="0" fontId="10" fillId="4" borderId="1" xfId="0" applyNumberFormat="1" applyFont="1" applyFill="1" applyBorder="1"/>
  </x:cellXfs>
  <x:cellStyles count="1">
    <x:cellStyle name="Normal" xfId="0"/>
  </x:cellStyles>
  <x:dxfs count="12">
    <x:dxf>
      <x:font>
        <x:b/>
        <x:color rgb="FF6D2929"/>
      </x:font>
      <x:fill>
        <x:patternFill patternType="solid">
          <x:bgColor rgb="FFFFF0D5"/>
        </x:patternFill>
      </x:fill>
    </x:dxf>
    <x:dxf>
      <x:font>
        <x:b/>
        <x:color rgb="FF6D2929"/>
      </x:font>
      <x:fill>
        <x:patternFill patternType="solid">
          <x:bgColor rgb="FFFFF0D5"/>
        </x:patternFill>
      </x:fill>
    </x:dxf>
    <x:dxf>
      <x:font>
        <x:b/>
        <x:color rgb="FF6D2929"/>
      </x:font>
      <x:fill>
        <x:patternFill patternType="solid">
          <x:bgColor rgb="FFFFF0F1"/>
        </x:patternFill>
      </x:fill>
    </x:dxf>
    <x:dxf>
      <x:font>
        <x:b/>
        <x:color rgb="FF6D2929"/>
      </x:font>
      <x:fill>
        <x:patternFill patternType="solid">
          <x:bgColor rgb="FFFFF0D5"/>
        </x:patternFill>
      </x:fill>
    </x:dxf>
    <x:dxf>
      <x:font>
        <x:b/>
        <x:color rgb="FF6D2929"/>
      </x:font>
      <x:fill>
        <x:patternFill patternType="solid">
          <x:bgColor rgb="FFFFF0D5"/>
        </x:patternFill>
      </x:fill>
    </x:dxf>
    <x:dxf>
      <x:font>
        <x:b/>
        <x:color rgb="FF6D2929"/>
      </x:font>
      <x:fill>
        <x:patternFill patternType="solid">
          <x:bgColor rgb="FFFFF0D5"/>
        </x:patternFill>
      </x:fill>
    </x:dxf>
    <x:dxf>
      <x:font>
        <x:b/>
        <x:color rgb="FF6D2929"/>
      </x:font>
      <x:fill>
        <x:patternFill patternType="solid">
          <x:bgColor rgb="FFFFF0D5"/>
        </x:patternFill>
      </x:fill>
    </x:dxf>
    <x:dxf>
      <x:font>
        <x:b/>
        <x:color rgb="FF6D2929"/>
      </x:font>
      <x:fill>
        <x:patternFill patternType="solid">
          <x:bgColor rgb="FFFFF0D5"/>
        </x:patternFill>
      </x:fill>
    </x:dxf>
    <x:dxf>
      <x:font>
        <x:b/>
        <x:color rgb="FF6D2929"/>
      </x:font>
      <x:fill>
        <x:patternFill patternType="solid">
          <x:bgColor rgb="FFFFE3E3"/>
        </x:patternFill>
      </x:fill>
    </x:dxf>
    <x:dxf>
      <x:font>
        <x:b/>
        <x:color rgb="FF6D2929"/>
      </x:font>
      <x:fill>
        <x:patternFill patternType="solid">
          <x:bgColor rgb="FFFFE3E3"/>
        </x:patternFill>
      </x:fill>
    </x:dxf>
    <x:dxf>
      <x:font>
        <x:b/>
        <x:color rgb="FF6D2929"/>
      </x:font>
      <x:fill>
        <x:patternFill patternType="solid">
          <x:bgColor rgb="FFFFE3E3"/>
        </x:patternFill>
      </x:fill>
    </x:dxf>
    <x:dxf>
      <x:font>
        <x:b/>
        <x:color rgb="FF6D2929"/>
      </x:font>
      <x:fill>
        <x:patternFill patternType="solid">
          <x:bgColor rgb="FFFFF0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8a951f48847d6" /><Relationship Type="http://schemas.openxmlformats.org/officeDocument/2006/relationships/theme" Target="/xl/theme/theme1.xml" Id="Rb774bad5455b48f8" /><Relationship Type="http://schemas.openxmlformats.org/officeDocument/2006/relationships/sharedStrings" Target="/xl/sharedStrings.xml" Id="R3bd51c2d5f8e40c8" /><Relationship Type="http://schemas.openxmlformats.org/officeDocument/2006/relationships/worksheet" Target="/xl/worksheets/sheet1.xml" Id="R20649448612044d0" /><Relationship Type="http://schemas.openxmlformats.org/officeDocument/2006/relationships/worksheet" Target="/xl/worksheets/sheet2.xml" Id="Rb43ce807b2b44d20" /><Relationship Type="http://schemas.openxmlformats.org/officeDocument/2006/relationships/worksheet" Target="/xl/worksheets/sheet3.xml" Id="R49fb614c41554d5f" /><Relationship Type="http://schemas.openxmlformats.org/officeDocument/2006/relationships/worksheet" Target="/xl/worksheets/sheet4.xml" Id="R0a03b3421b4e4323" /><Relationship Type="http://schemas.openxmlformats.org/officeDocument/2006/relationships/worksheet" Target="/xl/worksheets/sheet5.xml" Id="Rb34a07c3297e4ab4" /><Relationship Type="http://schemas.openxmlformats.org/officeDocument/2006/relationships/worksheet" Target="/xl/worksheets/sheet6.xml" Id="Rcb5cf96ed3a640df" /><Relationship Type="http://schemas.openxmlformats.org/officeDocument/2006/relationships/worksheet" Target="/xl/worksheets/sheet7.xml" Id="Rf1a69eb733ca49c9" /><Relationship Type="http://schemas.openxmlformats.org/officeDocument/2006/relationships/worksheet" Target="/xl/worksheets/sheet8.xml" Id="R444033421c8a4365" /><Relationship Type="http://schemas.openxmlformats.org/officeDocument/2006/relationships/worksheet" Target="/xl/worksheets/sheet9.xml" Id="R177bbd50c35e4017" /><Relationship Type="http://schemas.openxmlformats.org/officeDocument/2006/relationships/worksheet" Target="/xl/worksheets/sheet10.xml" Id="Rc8bc51f3440e40eb" /><Relationship Type="http://schemas.openxmlformats.org/officeDocument/2006/relationships/worksheet" Target="/xl/worksheets/sheet11.xml" Id="R8ddf6fdd149a4e4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3dc3bca3e5e4ae1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Schneeball</c:v>
          </c:tx>
          <c:marker>
            <c:symbol val="none"/>
          </c:marker>
          <c:cat>
            <c:strRef>
              <c:f>'VERGLEICH'!$A$9:$A$80</c:f>
              <c:strCache>
                <c:ptCount val="0"/>
              </c:strCache>
            </c:strRef>
          </c:cat>
          <c:val>
            <c:numRef>
              <c:f>'VERGLEICH'!$H$9:$H$80</c:f>
              <c:numCache>
                <c:formatCode>#,##0 "€"</c:formatCode>
                <c:ptCount val="0"/>
              </c:numCache>
            </c:numRef>
          </c:val>
        </c:ser>
        <c:ser>
          <c:idx val="1"/>
          <c:order val="1"/>
          <c:tx>
            <c:v>Zins-Lawine</c:v>
          </c:tx>
          <c:marker>
            <c:symbol val="none"/>
          </c:marker>
          <c:cat>
            <c:strRef>
              <c:f>'VERGLEICH'!$A$9:$A$80</c:f>
              <c:strCache>
                <c:ptCount val="0"/>
              </c:strCache>
            </c:strRef>
          </c:cat>
          <c:val>
            <c:numRef>
              <c:f>'VERGLEICH'!$N$9:$N$80</c:f>
              <c:numCache>
                <c:formatCode>#,##0 "€"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33</xdr:row>
      <xdr:rowOff>0</xdr:rowOff>
    </xdr:from>
    <xdr:to>
      <xdr:col>15</xdr:col>
      <xdr:colOff>0</xdr:colOff>
      <xdr:row>51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3dc3bca3e5e4ae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f01c9983f9744cda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9" hidden="0" customWidth="1"/>
  </x:cols>
  <x:sheetData>
    <x:row r="1" ht="29" customHeight="1">
      <x:c r="A1" s="4" t="str">
        <x:v>NURGELD.DE  /  SCHULDENTILGUNGSPLAN PRO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8" customHeight="1">
      <x:c r="A3" s="10" t="str">
        <x:v>DEIN WEG AUS DER VERSCHULDUNG  ·  Zwei Strategien  ·  20 Forderungen  ·  72 Monate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4" ht="21" customHeight="1"/>
    <x:row r="5" ht="29" customHeight="1">
      <x:c r="A5" s="16" t="str">
        <x:v>01  IN SECHS SCHRITTEN ZUM REALISTISCHEN TILGUNGSPLAN</x:v>
      </x:c>
      <x:c r="B5" s="16"/>
      <x:c r="C5" s="16"/>
      <x:c r="D5" s="16"/>
      <x:c r="E5" s="16"/>
      <x:c r="F5" s="16"/>
      <x:c r="G5" s="16"/>
      <x:c r="H5" s="16"/>
      <x:c r="I5" s="16"/>
      <x:c r="J5" s="16"/>
      <x:c r="K5" s="16"/>
      <x:c r="L5" s="16"/>
    </x:row>
    <x:row r="6" ht="21" customHeight="1"/>
    <x:row r="7" ht="21" customHeight="1">
      <x:c r="A7" s="23" t="str">
        <x:v>1  Start &amp; Rückzahlungsbudget</x:v>
      </x:c>
      <x:c r="B7" s="23"/>
      <x:c r="C7" s="23"/>
      <x:c r="D7" s="31" t="str">
        <x:v>STEUERUNG: Startmonat und den Geldbetrag festlegen, der nach notwendigen Lebenshaltungskosten monatlich tatsächlich für Schuldzahlungen verfügbar ist.</x:v>
      </x:c>
      <x:c r="E7" s="31"/>
      <x:c r="F7" s="31"/>
      <x:c r="G7" s="31"/>
      <x:c r="H7" s="31"/>
      <x:c r="I7" s="31"/>
      <x:c r="J7" s="31"/>
      <x:c r="K7" s="31"/>
      <x:c r="L7" s="31"/>
    </x:row>
    <x:row r="8" ht="21" customHeight="1">
      <x:c r="A8" s="23"/>
      <x:c r="B8" s="23"/>
      <x:c r="C8" s="23"/>
      <x:c r="D8" s="31"/>
      <x:c r="E8" s="31"/>
      <x:c r="F8" s="31"/>
      <x:c r="G8" s="31"/>
      <x:c r="H8" s="31"/>
      <x:c r="I8" s="31"/>
      <x:c r="J8" s="31"/>
      <x:c r="K8" s="31"/>
      <x:c r="L8" s="31"/>
    </x:row>
    <x:row r="9" ht="21" customHeight="1"/>
    <x:row r="10" ht="21" customHeight="1">
      <x:c r="A10" s="23" t="str">
        <x:v>2  Gläubiger prüfen</x:v>
      </x:c>
      <x:c r="B10" s="23"/>
      <x:c r="C10" s="23"/>
      <x:c r="D10" s="31" t="str">
        <x:v>FORDERUNGEN: Anfangssaldo, Jahreszins, vereinbarte Mindestzahlung, Prüfstatus und Einbeziehung eintragen. Nicht bestätigte Forderungen bleiben außerhalb der Simulation.</x:v>
      </x:c>
      <x:c r="E10" s="31"/>
      <x:c r="F10" s="31"/>
      <x:c r="G10" s="31"/>
      <x:c r="H10" s="31"/>
      <x:c r="I10" s="31"/>
      <x:c r="J10" s="31"/>
      <x:c r="K10" s="31"/>
      <x:c r="L10" s="31"/>
    </x:row>
    <x:row r="11" ht="21" customHeight="1">
      <x:c r="A11" s="23"/>
      <x:c r="B11" s="23"/>
      <x:c r="C11" s="23"/>
      <x:c r="D11" s="31"/>
      <x:c r="E11" s="31"/>
      <x:c r="F11" s="31"/>
      <x:c r="G11" s="31"/>
      <x:c r="H11" s="31"/>
      <x:c r="I11" s="31"/>
      <x:c r="J11" s="31"/>
      <x:c r="K11" s="31"/>
      <x:c r="L11" s="31"/>
    </x:row>
    <x:row r="12" ht="21" customHeight="1"/>
    <x:row r="13" ht="21" customHeight="1">
      <x:c r="A13" s="23" t="str">
        <x:v>3  Monatsbudget anpassen</x:v>
      </x:c>
      <x:c r="B13" s="23"/>
      <x:c r="C13" s="23"/>
      <x:c r="D13" s="31" t="str">
        <x:v>MONATSBUDGET: Falls sich Dein Rückzahlungsbudget später ändert, einzelne Monatswerte überschreiben. Leere Monatsfelder übernehmen den Grundwert.</x:v>
      </x:c>
      <x:c r="E13" s="31"/>
      <x:c r="F13" s="31"/>
      <x:c r="G13" s="31"/>
      <x:c r="H13" s="31"/>
      <x:c r="I13" s="31"/>
      <x:c r="J13" s="31"/>
      <x:c r="K13" s="31"/>
      <x:c r="L13" s="31"/>
    </x:row>
    <x:row r="14" ht="21" customHeight="1">
      <x:c r="A14" s="23"/>
      <x:c r="B14" s="23"/>
      <x:c r="C14" s="23"/>
      <x:c r="D14" s="31"/>
      <x:c r="E14" s="31"/>
      <x:c r="F14" s="31"/>
      <x:c r="G14" s="31"/>
      <x:c r="H14" s="31"/>
      <x:c r="I14" s="31"/>
      <x:c r="J14" s="31"/>
      <x:c r="K14" s="31"/>
      <x:c r="L14" s="31"/>
    </x:row>
    <x:row r="15" ht="21" customHeight="1"/>
    <x:row r="16" ht="21" customHeight="1">
      <x:c r="A16" s="23" t="str">
        <x:v>4  Sonderzahlungen planen</x:v>
      </x:c>
      <x:c r="B16" s="23"/>
      <x:c r="C16" s="23"/>
      <x:c r="D16" s="31" t="str">
        <x:v>SONDERZAHLUNGEN: Nur zusätzlich verfügbares Geld eintragen, das nicht bereits im Monatsbudget steckt. Zahlungen werden einer konkreten Forderung zugeordnet.</x:v>
      </x:c>
      <x:c r="E16" s="31"/>
      <x:c r="F16" s="31"/>
      <x:c r="G16" s="31"/>
      <x:c r="H16" s="31"/>
      <x:c r="I16" s="31"/>
      <x:c r="J16" s="31"/>
      <x:c r="K16" s="31"/>
      <x:c r="L16" s="31"/>
    </x:row>
    <x:row r="17" ht="21" customHeight="1">
      <x:c r="A17" s="23"/>
      <x:c r="B17" s="23"/>
      <x:c r="C17" s="23"/>
      <x:c r="D17" s="31"/>
      <x:c r="E17" s="31"/>
      <x:c r="F17" s="31"/>
      <x:c r="G17" s="31"/>
      <x:c r="H17" s="31"/>
      <x:c r="I17" s="31"/>
      <x:c r="J17" s="31"/>
      <x:c r="K17" s="31"/>
      <x:c r="L17" s="31"/>
    </x:row>
    <x:row r="18" ht="21" customHeight="1"/>
    <x:row r="19" ht="21" customHeight="1">
      <x:c r="A19" s="23" t="str">
        <x:v>5  Strategien nachvollziehen</x:v>
      </x:c>
      <x:c r="B19" s="23"/>
      <x:c r="C19" s="23"/>
      <x:c r="D19" s="31" t="str">
        <x:v>COCKPIT und VERGLEICH: Schneeball = kleinster Anfangssaldo zuerst; Zins-Lawine = höchster Jahreszins zuerst. Frei werdendes Budget fließt automatisch weiter.</x:v>
      </x:c>
      <x:c r="E19" s="31"/>
      <x:c r="F19" s="31"/>
      <x:c r="G19" s="31"/>
      <x:c r="H19" s="31"/>
      <x:c r="I19" s="31"/>
      <x:c r="J19" s="31"/>
      <x:c r="K19" s="31"/>
      <x:c r="L19" s="31"/>
    </x:row>
    <x:row r="20" ht="21" customHeight="1">
      <x:c r="A20" s="23"/>
      <x:c r="B20" s="23"/>
      <x:c r="C20" s="23"/>
      <x:c r="D20" s="31"/>
      <x:c r="E20" s="31"/>
      <x:c r="F20" s="31"/>
      <x:c r="G20" s="31"/>
      <x:c r="H20" s="31"/>
      <x:c r="I20" s="31"/>
      <x:c r="J20" s="31"/>
      <x:c r="K20" s="31"/>
      <x:c r="L20" s="31"/>
    </x:row>
    <x:row r="21" ht="21" customHeight="1"/>
    <x:row r="22" ht="21" customHeight="1">
      <x:c r="A22" s="23" t="str">
        <x:v>6  Jeden Monat neu prüfen</x:v>
      </x:c>
      <x:c r="B22" s="23"/>
      <x:c r="C22" s="23"/>
      <x:c r="D22" s="31" t="str">
        <x:v>GLÄUBIGER-CHECK und die Detailpläne durchsehen; Änderungen bei Zinsen, Salden oder Vereinbarungen aktualisieren. Prognosen sind keine Zahlungsbestätigungen.</x:v>
      </x:c>
      <x:c r="E22" s="31"/>
      <x:c r="F22" s="31"/>
      <x:c r="G22" s="31"/>
      <x:c r="H22" s="31"/>
      <x:c r="I22" s="31"/>
      <x:c r="J22" s="31"/>
      <x:c r="K22" s="31"/>
      <x:c r="L22" s="31"/>
    </x:row>
    <x:row r="23" ht="21" customHeight="1">
      <x:c r="A23" s="23"/>
      <x:c r="B23" s="23"/>
      <x:c r="C23" s="23"/>
      <x:c r="D23" s="31"/>
      <x:c r="E23" s="31"/>
      <x:c r="F23" s="31"/>
      <x:c r="G23" s="31"/>
      <x:c r="H23" s="31"/>
      <x:c r="I23" s="31"/>
      <x:c r="J23" s="31"/>
      <x:c r="K23" s="31"/>
      <x:c r="L23" s="31"/>
    </x:row>
    <x:row r="24" ht="21" customHeight="1"/>
    <x:row r="25" ht="21" customHeight="1"/>
    <x:row r="26" ht="21" customHeight="1"/>
    <x:row r="27" ht="29" customHeight="1">
      <x:c r="A27" s="16" t="str">
        <x:v>02  WAS DIE PROGNOSE WIRKLICH BERECHNET</x:v>
      </x:c>
      <x:c r="B27" s="16"/>
      <x:c r="C27" s="16"/>
      <x:c r="D27" s="16"/>
      <x:c r="E27" s="16"/>
      <x:c r="F27" s="16"/>
      <x:c r="G27" s="16"/>
      <x:c r="H27" s="16"/>
      <x:c r="I27" s="16"/>
      <x:c r="J27" s="16"/>
      <x:c r="K27" s="16"/>
      <x:c r="L27" s="16"/>
    </x:row>
    <x:row r="28" ht="21" customHeight="1"/>
    <x:row r="29" ht="34" customHeight="1">
      <x:c r="A29" s="37" t="str">
        <x:v>Pro Monat: Anfangssaldo + angenommene Monatszinsen – Mindestzahlungen – zugeordnete Sonderzahlungen – zusätzliche Tilgung = verbleibender Saldo.</x:v>
      </x:c>
      <x:c r="B29" s="37"/>
      <x:c r="C29" s="37"/>
      <x:c r="D29" s="37"/>
      <x:c r="E29" s="37"/>
      <x:c r="F29" s="37"/>
      <x:c r="G29" s="37"/>
      <x:c r="H29" s="37"/>
      <x:c r="I29" s="37"/>
      <x:c r="J29" s="37"/>
      <x:c r="K29" s="37"/>
      <x:c r="L29" s="37"/>
    </x:row>
    <x:row r="30" ht="21" customHeight="1"/>
    <x:row r="31" ht="21" customHeight="1"/>
    <x:row r="32" ht="34" customHeight="1">
      <x:c r="A32" s="37" t="str">
        <x:v>Schneeball und Zins-Lawine nutzen dasselbe Budget, dieselben Forderungen und dieselben Sonderzahlungen. Nur die Reihenfolge zusätzlicher Zahlungen unterscheidet sich.</x:v>
      </x:c>
      <x:c r="B32" s="37"/>
      <x:c r="C32" s="37"/>
      <x:c r="D32" s="37"/>
      <x:c r="E32" s="37"/>
      <x:c r="F32" s="37"/>
      <x:c r="G32" s="37"/>
      <x:c r="H32" s="37"/>
      <x:c r="I32" s="37"/>
      <x:c r="J32" s="37"/>
      <x:c r="K32" s="37"/>
      <x:c r="L32" s="37"/>
    </x:row>
    <x:row r="33" ht="21" customHeight="1"/>
    <x:row r="34" ht="21" customHeight="1"/>
    <x:row r="35" ht="34" customHeight="1">
      <x:c r="A35" s="37" t="str">
        <x:v>Vereinbarte Mindestzahlungen werden auch bei Budgetunterdeckung modelliert. Der Plan markiert solche Monate ausdrücklich als NICHT FINANZIERBAR; Ergebnisse dann nicht als realistisch verstehen.</x:v>
      </x:c>
      <x:c r="B35" s="37"/>
      <x:c r="C35" s="37"/>
      <x:c r="D35" s="37"/>
      <x:c r="E35" s="37"/>
      <x:c r="F35" s="37"/>
      <x:c r="G35" s="37"/>
      <x:c r="H35" s="37"/>
      <x:c r="I35" s="37"/>
      <x:c r="J35" s="37"/>
      <x:c r="K35" s="37"/>
      <x:c r="L35" s="37"/>
    </x:row>
    <x:row r="36" ht="21" customHeight="1"/>
    <x:row r="37" ht="21" customHeight="1"/>
    <x:row r="38" ht="34" customHeight="1">
      <x:c r="A38" s="37" t="str">
        <x:v>Zinsen vereinfachend: Nominalzinssatz / 12, monatliche Verzinsung auf Anfangssaldo, Rundung auf Cent. Keine Mahn-, Inkasso-, Gerichts- oder neuen Gebühren enthalten.</x:v>
      </x:c>
      <x:c r="B38" s="37"/>
      <x:c r="C38" s="37"/>
      <x:c r="D38" s="37"/>
      <x:c r="E38" s="37"/>
      <x:c r="F38" s="37"/>
      <x:c r="G38" s="37"/>
      <x:c r="H38" s="37"/>
      <x:c r="I38" s="37"/>
      <x:c r="J38" s="37"/>
      <x:c r="K38" s="37"/>
      <x:c r="L38" s="37"/>
    </x:row>
    <x:row r="39" ht="21" customHeight="1"/>
    <x:row r="40" ht="21" customHeight="1"/>
    <x:row r="41" ht="34" customHeight="1">
      <x:c r="A41" s="37" t="str">
        <x:v>Sonderzahlungen sind zusätzliche Mittel außerhalb des Monatsbudgets; übersteigende geplante Sonderzahlungen werden als nicht nutzbar ausgewiesen, niemals als Zahlung verbucht.</x:v>
      </x:c>
      <x:c r="B41" s="37"/>
      <x:c r="C41" s="37"/>
      <x:c r="D41" s="37"/>
      <x:c r="E41" s="37"/>
      <x:c r="F41" s="37"/>
      <x:c r="G41" s="37"/>
      <x:c r="H41" s="37"/>
      <x:c r="I41" s="37"/>
      <x:c r="J41" s="37"/>
      <x:c r="K41" s="37"/>
      <x:c r="L41" s="37"/>
    </x:row>
    <x:row r="42" ht="21" customHeight="1"/>
    <x:row r="43" ht="21" customHeight="1"/>
    <x:row r="44" ht="34" customHeight="1">
      <x:c r="A44" s="37" t="str">
        <x:v>Keine rechtliche Bewertung: Bestrittene oder ungeprüfte Forderungen und Pfändungsschutz nicht durch dieses Excel entscheiden lassen. Bei Überschuldung Beratung einholen.</x:v>
      </x:c>
      <x:c r="B44" s="37"/>
      <x:c r="C44" s="37"/>
      <x:c r="D44" s="37"/>
      <x:c r="E44" s="37"/>
      <x:c r="F44" s="37"/>
      <x:c r="G44" s="37"/>
      <x:c r="H44" s="37"/>
      <x:c r="I44" s="37"/>
      <x:c r="J44" s="37"/>
      <x:c r="K44" s="37"/>
      <x:c r="L44" s="37"/>
    </x:row>
    <x:row r="45" ht="21" customHeight="1"/>
    <x:row r="46" ht="21" customHeight="1"/>
    <x:row r="47" ht="21" customHeight="1"/>
    <x:row r="48" ht="21" customHeight="1"/>
    <x:row r="49" ht="29" customHeight="1">
      <x:c r="A49" s="16" t="str">
        <x:v>03  DATENSCHUTZ &amp; ORIENTIERUNG</x:v>
      </x:c>
      <x:c r="B49" s="16"/>
      <x:c r="C49" s="16"/>
      <x:c r="D49" s="16"/>
      <x:c r="E49" s="16"/>
      <x:c r="F49" s="16"/>
      <x:c r="G49" s="16"/>
      <x:c r="H49" s="16"/>
      <x:c r="I49" s="16"/>
      <x:c r="J49" s="16"/>
      <x:c r="K49" s="16"/>
      <x:c r="L49" s="16"/>
    </x:row>
    <x:row r="50" ht="21" customHeight="1"/>
    <x:row r="51" ht="33" customHeight="1">
      <x:c r="A51" s="37" t="str">
        <x:v>BLAU = Eingabe  ·  GRAU = Berechnung  ·  ROT = prüfen. Die Datei ist lokal, makrofrei und arbeitet ohne Zugriff auf Konten.</x:v>
      </x:c>
      <x:c r="B51" s="37"/>
      <x:c r="C51" s="37"/>
      <x:c r="D51" s="37"/>
      <x:c r="E51" s="37"/>
      <x:c r="F51" s="37"/>
      <x:c r="G51" s="37"/>
      <x:c r="H51" s="37"/>
      <x:c r="I51" s="37"/>
      <x:c r="J51" s="37"/>
      <x:c r="K51" s="37"/>
      <x:c r="L51" s="37"/>
    </x:row>
    <x:row r="52" ht="21" customHeight="1"/>
    <x:row r="53" ht="33" customHeight="1">
      <x:c r="A53" s="37" t="str">
        <x:v>Für die Berechnung sind keine Kontonummern, Passwörter oder vollständigen Namen nötig. Eine kopierte Datei vor Weitergabe anonymisieren.</x:v>
      </x:c>
      <x:c r="B53" s="37"/>
      <x:c r="C53" s="37"/>
      <x:c r="D53" s="37"/>
      <x:c r="E53" s="37"/>
      <x:c r="F53" s="37"/>
      <x:c r="G53" s="37"/>
      <x:c r="H53" s="37"/>
      <x:c r="I53" s="37"/>
      <x:c r="J53" s="37"/>
      <x:c r="K53" s="37"/>
      <x:c r="L53" s="37"/>
    </x:row>
    <x:row r="54" ht="21" customHeight="1"/>
    <x:row r="55" ht="33" customHeight="1">
      <x:c r="A55" s="37" t="str">
        <x:v>Jede Strategie wird höchstens über 72 Monate prognostiziert. Bleiben Restschulden, erscheint bewusst „über 72 Monate“ statt eines erfundenen Datums.</x:v>
      </x:c>
      <x:c r="B55" s="37"/>
      <x:c r="C55" s="37"/>
      <x:c r="D55" s="37"/>
      <x:c r="E55" s="37"/>
      <x:c r="F55" s="37"/>
      <x:c r="G55" s="37"/>
      <x:c r="H55" s="37"/>
      <x:c r="I55" s="37"/>
      <x:c r="J55" s="37"/>
      <x:c r="K55" s="37"/>
      <x:c r="L55" s="37"/>
    </x:row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</x:sheetData>
  <x:mergeCells>
    <x:mergeCell ref="A1:L2"/>
    <x:mergeCell ref="A3:L3"/>
    <x:mergeCell ref="A5:L5"/>
    <x:mergeCell ref="A7:C8"/>
    <x:mergeCell ref="D7:L8"/>
    <x:mergeCell ref="A10:C11"/>
    <x:mergeCell ref="D10:L11"/>
    <x:mergeCell ref="A13:C14"/>
    <x:mergeCell ref="D13:L14"/>
    <x:mergeCell ref="A16:C17"/>
    <x:mergeCell ref="D16:L17"/>
    <x:mergeCell ref="A19:C20"/>
    <x:mergeCell ref="D19:L20"/>
    <x:mergeCell ref="A22:C23"/>
    <x:mergeCell ref="D22:L23"/>
    <x:mergeCell ref="A27:L27"/>
    <x:mergeCell ref="A29:L29"/>
    <x:mergeCell ref="A32:L32"/>
    <x:mergeCell ref="A35:L35"/>
    <x:mergeCell ref="A38:L38"/>
    <x:mergeCell ref="A41:L41"/>
    <x:mergeCell ref="A44:L44"/>
    <x:mergeCell ref="A49:L49"/>
    <x:mergeCell ref="A51:L51"/>
    <x:mergeCell ref="A53:L53"/>
    <x:mergeCell ref="A55:L5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1" ht="29" customHeight="1">
      <x:c r="A1" s="4" t="str">
        <x:v>NURGELD.DE  /  SCHULDENTILGUNGSPLAN PRO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3" ht="28" customHeight="1">
      <x:c r="A3" s="10" t="str">
        <x:v>DEIN TILGUNGS-COCKPIT  ·  Beide Strategien parallel  ·  Budgetlücken sichtbar statt verschwiegen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</x:row>
    <x:row r="4" ht="21" customHeight="1"/>
    <x:row r="5" ht="31" customHeight="1">
      <x:c r="A5" s="21" t="str">
        <x:f>IF(COUNTIF(FORDERUNGEN!$K$9:$K$28,"OK")=0,"NOCH KEINE BESTÄTIGTEN FORDERUNGEN ERFASST","PLANBEGINN  ·  "&amp;TEXT(STEUERUNG!$B$7,"MMMM YYYY")&amp;"  |  AUSWAHL  ·  "&amp;STEUERUNG!$B$11)</x:f>
        <x:v>NOCH KEINE BESTÄTIGTEN FORDERUNGEN ERFASST</x:v>
      </x:c>
      <x:c r="B5" s="21"/>
      <x:c r="C5" s="21"/>
      <x:c r="D5" s="21"/>
      <x:c r="E5" s="21"/>
      <x:c r="F5" s="21"/>
      <x:c r="G5" s="21"/>
      <x:c r="H5" s="21"/>
      <x:c r="I5" s="21"/>
      <x:c r="J5" s="21"/>
      <x:c r="K5" s="21"/>
      <x:c r="L5" s="21"/>
      <x:c r="M5" s="21"/>
      <x:c r="N5" s="21"/>
      <x:c r="O5" s="21"/>
    </x:row>
    <x:row r="6" ht="21" customHeight="1"/>
    <x:row r="7" ht="30" customHeight="1">
      <x:c r="A7" s="92" t="str">
        <x:v>EINBEZOGENE ANFANGSSCHULDEN</x:v>
      </x:c>
      <x:c r="B7" s="92"/>
      <x:c r="C7" s="92"/>
      <x:c r="D7" s="92"/>
      <x:c r="E7" s="92"/>
      <x:c r="F7" s="92" t="str">
        <x:v>MONATLICHES TILGUNGSBUDGET</x:v>
      </x:c>
      <x:c r="G7" s="92"/>
      <x:c r="H7" s="92"/>
      <x:c r="I7" s="92"/>
      <x:c r="J7" s="92"/>
      <x:c r="K7" s="92" t="str">
        <x:v>BESTÄTIGTE FORDERUNGEN</x:v>
      </x:c>
      <x:c r="L7" s="92"/>
      <x:c r="M7" s="92"/>
      <x:c r="N7" s="92"/>
      <x:c r="O7" s="92"/>
    </x:row>
    <x:row r="8" ht="25" customHeight="1">
      <x:c r="A8" s="98" t="str">
        <x:f>IF(COUNTIF(FORDERUNGEN!$K$9:$K$28,"OK")=0,"",FORDERUNGEN!$F$41)</x:f>
      </x:c>
      <x:c r="B8" s="95"/>
      <x:c r="C8" s="95"/>
      <x:c r="D8" s="95"/>
      <x:c r="E8" s="95"/>
      <x:c r="F8" s="98" t="str">
        <x:f>IF(STEUERUNG!$B$9="","",STEUERUNG!$B$9)</x:f>
      </x:c>
      <x:c r="G8" s="95"/>
      <x:c r="H8" s="95"/>
      <x:c r="I8" s="95"/>
      <x:c r="J8" s="95"/>
      <x:c r="K8" s="100" t="str">
        <x:f>IF(COUNTIF(FORDERUNGEN!$K$9:$K$28,"OK")=0,"",COUNTIF(FORDERUNGEN!$K$9:$K$28,"OK"))</x:f>
      </x:c>
      <x:c r="L8" s="95"/>
      <x:c r="M8" s="95"/>
      <x:c r="N8" s="95"/>
      <x:c r="O8" s="95"/>
    </x:row>
    <x:row r="9" ht="25" customHeight="1">
      <x:c r="A9" s="95"/>
      <x:c r="B9" s="95"/>
      <x:c r="C9" s="95"/>
      <x:c r="D9" s="95"/>
      <x:c r="E9" s="95"/>
      <x:c r="F9" s="95"/>
      <x:c r="G9" s="95"/>
      <x:c r="H9" s="95"/>
      <x:c r="I9" s="95"/>
      <x:c r="J9" s="95"/>
      <x:c r="K9" s="95"/>
      <x:c r="L9" s="95"/>
      <x:c r="M9" s="95"/>
      <x:c r="N9" s="95"/>
      <x:c r="O9" s="95"/>
    </x:row>
    <x:row r="10" ht="21" customHeight="1"/>
    <x:row r="11" ht="30" customHeight="1">
      <x:c r="A11" s="92" t="str">
        <x:v>REST NACH AUSWERTUNGSMONAT</x:v>
      </x:c>
      <x:c r="B11" s="92"/>
      <x:c r="C11" s="92"/>
      <x:c r="D11" s="92"/>
      <x:c r="E11" s="92"/>
      <x:c r="F11" s="92" t="str">
        <x:v>ZINSEN IM PLAN / STRATEGIE</x:v>
      </x:c>
      <x:c r="G11" s="92"/>
      <x:c r="H11" s="92"/>
      <x:c r="I11" s="92"/>
      <x:c r="J11" s="92"/>
      <x:c r="K11" s="92" t="str">
        <x:v>UNTERFINANZIERTE MONATE</x:v>
      </x:c>
      <x:c r="L11" s="92"/>
      <x:c r="M11" s="92"/>
      <x:c r="N11" s="92"/>
      <x:c r="O11" s="92"/>
    </x:row>
    <x:row r="12" ht="25" customHeight="1">
      <x:c r="A12" s="98" t="str">
        <x:f>IF(COUNTIF(FORDERUNGEN!$K$9:$K$28,"OK")=0,"",IF(STEUERUNG!$B$11="Schneeball",INDEX(VERGLEICH!$H$9:$H$80,STEUERUNG!$B$13),INDEX(VERGLEICH!$N$9:$N$80,STEUERUNG!$B$13)))</x:f>
      </x:c>
      <x:c r="B12" s="95"/>
      <x:c r="C12" s="95"/>
      <x:c r="D12" s="95"/>
      <x:c r="E12" s="95"/>
      <x:c r="F12" s="98" t="str">
        <x:f>IF(COUNTIF(FORDERUNGEN!$K$9:$K$28,"OK")=0,"",IF(STEUERUNG!$B$11="Schneeball",SUM(VERGLEICH!$F$9:$F$80),SUM(VERGLEICH!$L$9:$L$80)))</x:f>
      </x:c>
      <x:c r="G12" s="95"/>
      <x:c r="H12" s="95"/>
      <x:c r="I12" s="95"/>
      <x:c r="J12" s="95"/>
      <x:c r="K12" s="100" t="str">
        <x:f>IF(COUNTIF(FORDERUNGEN!$K$9:$K$28,"OK")=0,"",IF(STEUERUNG!$B$11="Schneeball",COUNTIF(VERGLEICH!$O$9:$O$80,"&gt;0"),COUNTIF(VERGLEICH!$P$9:$P$80,"&gt;0")))</x:f>
      </x:c>
      <x:c r="L12" s="95"/>
      <x:c r="M12" s="95"/>
      <x:c r="N12" s="95"/>
      <x:c r="O12" s="95"/>
    </x:row>
    <x:row r="13" ht="25" customHeight="1">
      <x:c r="A13" s="95"/>
      <x:c r="B13" s="95"/>
      <x:c r="C13" s="95"/>
      <x:c r="D13" s="95"/>
      <x:c r="E13" s="95"/>
      <x:c r="F13" s="95"/>
      <x:c r="G13" s="95"/>
      <x:c r="H13" s="95"/>
      <x:c r="I13" s="95"/>
      <x:c r="J13" s="95"/>
      <x:c r="K13" s="95"/>
      <x:c r="L13" s="95"/>
      <x:c r="M13" s="95"/>
      <x:c r="N13" s="95"/>
      <x:c r="O13" s="95"/>
    </x:row>
    <x:row r="14" ht="21" customHeight="1"/>
    <x:row r="15" ht="30" customHeight="1">
      <x:c r="A15" s="92" t="str">
        <x:v>RECHNERISCH SCHULDENFREI</x:v>
      </x:c>
      <x:c r="B15" s="92"/>
      <x:c r="C15" s="92"/>
      <x:c r="D15" s="92"/>
      <x:c r="E15" s="92"/>
      <x:c r="F15" s="92" t="str">
        <x:v>NICHT GENUTZTE SONDERBETRÄGE</x:v>
      </x:c>
      <x:c r="G15" s="92"/>
      <x:c r="H15" s="92"/>
      <x:c r="I15" s="92"/>
      <x:c r="J15" s="92"/>
      <x:c r="K15" s="92" t="str">
        <x:v>DATEN, DIE PRÜFUNG BRAUCHEN</x:v>
      </x:c>
      <x:c r="L15" s="92"/>
      <x:c r="M15" s="92"/>
      <x:c r="N15" s="92"/>
      <x:c r="O15" s="92"/>
    </x:row>
    <x:row r="16" ht="25" customHeight="1">
      <x:c r="A16" s="102" t="str">
        <x:f>IF(COUNTIF(FORDERUNGEN!$K$9:$K$28,"OK")=0,"",IF(STEUERUNG!$B$9="","BUDGET FEHLT",IF(K12&gt;0,"BUDGETLÜCKE",IF(STEUERUNG!$B$11="Schneeball",IFERROR(INDEX(VERGLEICH!$A$9:$A$80,MATCH(0,VERGLEICH!$H$9:$H$80,0)),"ÜBER 72 MONATE"),IFERROR(INDEX(VERGLEICH!$A$9:$A$80,MATCH(0,VERGLEICH!$N$9:$N$80,0)),"ÜBER 72 MONATE")))))</x:f>
      </x:c>
      <x:c r="B16" s="95"/>
      <x:c r="C16" s="95"/>
      <x:c r="D16" s="95"/>
      <x:c r="E16" s="95"/>
      <x:c r="F16" s="98" t="str">
        <x:f>IF(COUNTIF(FORDERUNGEN!$K$9:$K$28,"OK")=0,"",IF(STEUERUNG!$B$11="Schneeball",SUM(VERGLEICH!$Q$9:$Q$80),SUM(VERGLEICH!$S$9:$S$80)))</x:f>
      </x:c>
      <x:c r="G16" s="95"/>
      <x:c r="H16" s="95"/>
      <x:c r="I16" s="95"/>
      <x:c r="J16" s="95"/>
      <x:c r="K16" s="100" t="n">
        <x:f>COUNTIF(FORDERUNGEN!$K$9:$K$28,"PRÜFEN")+SONDERZAHLUNGEN!$E$136+COUNTIF(MONATSBUDGET!$F$9:$F$80,"&lt;&gt;OK")</x:f>
        <x:v>72</x:v>
      </x:c>
      <x:c r="L16" s="95"/>
      <x:c r="M16" s="95"/>
      <x:c r="N16" s="95"/>
      <x:c r="O16" s="95"/>
    </x:row>
    <x:row r="17" ht="25" customHeight="1">
      <x:c r="A17" s="95"/>
      <x:c r="B17" s="95"/>
      <x:c r="C17" s="95"/>
      <x:c r="D17" s="95"/>
      <x:c r="E17" s="95"/>
      <x:c r="F17" s="95"/>
      <x:c r="G17" s="95"/>
      <x:c r="H17" s="95"/>
      <x:c r="I17" s="95"/>
      <x:c r="J17" s="95"/>
      <x:c r="K17" s="95"/>
      <x:c r="L17" s="95"/>
      <x:c r="M17" s="95"/>
      <x:c r="N17" s="95"/>
      <x:c r="O17" s="95"/>
    </x:row>
    <x:row r="18" ht="21" customHeight="1"/>
    <x:row r="19" ht="42" customHeight="1">
      <x:c r="A19" s="37" t="str">
        <x:v>Wenn „BUDGETLÜCKE“ erscheint, sind Tilgung und Enddatum NICHT als finanzierbarer Plan zu verwenden. Erhöhe das Budget nicht künstlich, sondern suche realistische Vereinbarungen / Beratung.</x:v>
      </x:c>
      <x:c r="B19" s="37"/>
      <x:c r="C19" s="37"/>
      <x:c r="D19" s="37"/>
      <x:c r="E19" s="37"/>
      <x:c r="F19" s="37"/>
      <x:c r="G19" s="37"/>
      <x:c r="H19" s="37"/>
      <x:c r="I19" s="37"/>
      <x:c r="J19" s="37"/>
      <x:c r="K19" s="37"/>
      <x:c r="L19" s="37"/>
      <x:c r="M19" s="37"/>
      <x:c r="N19" s="37"/>
      <x:c r="O19" s="37"/>
    </x:row>
    <x:row r="20" ht="21" customHeight="1"/>
    <x:row r="21" ht="29" customHeight="1">
      <x:c r="A21" s="16" t="str">
        <x:v>SCHNEEBALL  VS.  ZINS-LAWINE</x:v>
      </x:c>
      <x:c r="B21" s="16"/>
      <x:c r="C21" s="16"/>
      <x:c r="D21" s="16"/>
      <x:c r="E21" s="16"/>
      <x:c r="F21" s="16"/>
      <x:c r="G21" s="16"/>
      <x:c r="H21" s="16"/>
      <x:c r="I21" s="16"/>
      <x:c r="J21" s="16"/>
      <x:c r="K21" s="16"/>
      <x:c r="L21" s="16"/>
      <x:c r="M21" s="16"/>
      <x:c r="N21" s="16"/>
      <x:c r="O21" s="16"/>
    </x:row>
    <x:row r="22" ht="30" customHeight="1">
      <x:c r="F22" s="82" t="str">
        <x:v>SCHNEEBALL  ·  KLEINSTE FORDERUNG ZUERST</x:v>
      </x:c>
      <x:c r="G22" s="82"/>
      <x:c r="H22" s="82"/>
      <x:c r="I22" s="82"/>
      <x:c r="J22" s="82"/>
      <x:c r="K22" s="104" t="str">
        <x:v>ZINS-LAWINE  ·  HÖCHSTER ZINS ZUERST</x:v>
      </x:c>
      <x:c r="L22" s="104"/>
      <x:c r="M22" s="104"/>
      <x:c r="N22" s="104"/>
      <x:c r="O22" s="104"/>
    </x:row>
    <x:row r="23" ht="27" customHeight="1">
      <x:c r="A23" s="21" t="str">
        <x:v>Restschuld im Auswertungsmonat</x:v>
      </x:c>
      <x:c r="B23" s="21"/>
      <x:c r="C23" s="21"/>
      <x:c r="D23" s="21"/>
      <x:c r="E23" s="21"/>
      <x:c r="F23" s="76" t="str">
        <x:f>IF(COUNTIF(FORDERUNGEN!$K$9:$K$28,"OK")=0,"",INDEX(VERGLEICH!$H$9:$H$80,STEUERUNG!$B$13))</x:f>
      </x:c>
      <x:c r="G23" s="72"/>
      <x:c r="H23" s="72"/>
      <x:c r="I23" s="72"/>
      <x:c r="J23" s="72"/>
      <x:c r="K23" s="76" t="str">
        <x:f>IF(COUNTIF(FORDERUNGEN!$K$9:$K$28,"OK")=0,"",INDEX(VERGLEICH!$N$9:$N$80,STEUERUNG!$B$13))</x:f>
      </x:c>
      <x:c r="L23" s="72"/>
      <x:c r="M23" s="72"/>
      <x:c r="N23" s="72"/>
      <x:c r="O23" s="72"/>
    </x:row>
    <x:row r="24" ht="21" customHeight="1"/>
    <x:row r="25" ht="27" customHeight="1">
      <x:c r="A25" s="21" t="str">
        <x:v>Summe der modellierten Zinsen</x:v>
      </x:c>
      <x:c r="B25" s="21"/>
      <x:c r="C25" s="21"/>
      <x:c r="D25" s="21"/>
      <x:c r="E25" s="21"/>
      <x:c r="F25" s="76" t="str">
        <x:f>IF(COUNTIF(FORDERUNGEN!$K$9:$K$28,"OK")=0,"",SUM(VERGLEICH!$F$9:$F$80))</x:f>
      </x:c>
      <x:c r="G25" s="72"/>
      <x:c r="H25" s="72"/>
      <x:c r="I25" s="72"/>
      <x:c r="J25" s="72"/>
      <x:c r="K25" s="76" t="str">
        <x:f>IF(COUNTIF(FORDERUNGEN!$K$9:$K$28,"OK")=0,"",SUM(VERGLEICH!$L$9:$L$80))</x:f>
      </x:c>
      <x:c r="L25" s="72"/>
      <x:c r="M25" s="72"/>
      <x:c r="N25" s="72"/>
      <x:c r="O25" s="72"/>
    </x:row>
    <x:row r="26" ht="21" customHeight="1"/>
    <x:row r="27" ht="27" customHeight="1">
      <x:c r="A27" s="21" t="str">
        <x:v>Mindestrate über Budget – Monate</x:v>
      </x:c>
      <x:c r="B27" s="21"/>
      <x:c r="C27" s="21"/>
      <x:c r="D27" s="21"/>
      <x:c r="E27" s="21"/>
      <x:c r="F27" s="74" t="str">
        <x:f>IF(COUNTIF(FORDERUNGEN!$K$9:$K$28,"OK")=0,"",COUNTIF(VERGLEICH!$O$9:$O$80,"&gt;0"))</x:f>
      </x:c>
      <x:c r="G27" s="72"/>
      <x:c r="H27" s="72"/>
      <x:c r="I27" s="72"/>
      <x:c r="J27" s="72"/>
      <x:c r="K27" s="74" t="str">
        <x:f>IF(COUNTIF(FORDERUNGEN!$K$9:$K$28,"OK")=0,"",COUNTIF(VERGLEICH!$P$9:$P$80,"&gt;0"))</x:f>
      </x:c>
      <x:c r="L27" s="72"/>
      <x:c r="M27" s="72"/>
      <x:c r="N27" s="72"/>
      <x:c r="O27" s="72"/>
    </x:row>
    <x:row r="28" ht="21" customHeight="1"/>
    <x:row r="29" ht="27" customHeight="1">
      <x:c r="A29" s="21" t="str">
        <x:v>Restsaldo nach 72 Monaten</x:v>
      </x:c>
      <x:c r="B29" s="21"/>
      <x:c r="C29" s="21"/>
      <x:c r="D29" s="21"/>
      <x:c r="E29" s="21"/>
      <x:c r="F29" s="76" t="str">
        <x:f>IF(COUNTIF(FORDERUNGEN!$K$9:$K$28,"OK")=0,"",VERGLEICH!$H$80)</x:f>
      </x:c>
      <x:c r="G29" s="72"/>
      <x:c r="H29" s="72"/>
      <x:c r="I29" s="72"/>
      <x:c r="J29" s="72"/>
      <x:c r="K29" s="76" t="str">
        <x:f>IF(COUNTIF(FORDERUNGEN!$K$9:$K$28,"OK")=0,"",VERGLEICH!$N$80)</x:f>
      </x:c>
      <x:c r="L29" s="72"/>
      <x:c r="M29" s="72"/>
      <x:c r="N29" s="72"/>
      <x:c r="O29" s="72"/>
    </x:row>
    <x:row r="30" ht="21" customHeight="1"/>
    <x:row r="31" ht="21" customHeight="1"/>
    <x:row r="32" ht="29" customHeight="1">
      <x:c r="A32" s="16" t="str">
        <x:v>VERLAUF DER RESTSCHULDEN  ·  BIS ZU SECHS JAHRE</x:v>
      </x:c>
      <x:c r="B32" s="16"/>
      <x:c r="C32" s="16"/>
      <x:c r="D32" s="16"/>
      <x:c r="E32" s="16"/>
      <x:c r="F32" s="16"/>
      <x:c r="G32" s="16"/>
      <x:c r="H32" s="16"/>
      <x:c r="I32" s="16"/>
      <x:c r="J32" s="16"/>
      <x:c r="K32" s="16"/>
      <x:c r="L32" s="16"/>
      <x:c r="M32" s="16"/>
      <x:c r="N32" s="16"/>
      <x:c r="O32" s="16"/>
    </x:row>
    <x:row r="33" ht="21" customHeight="1"/>
    <x:row r="34" ht="21" customHeight="1"/>
    <x:row r="35" ht="21" customHeight="1"/>
    <x:row r="36" ht="21" customHeight="1"/>
    <x:row r="37" ht="21" customHeight="1"/>
    <x:row r="38" ht="21" customHeight="1"/>
    <x:row r="39" ht="21" customHeight="1"/>
    <x:row r="40" ht="21" customHeight="1"/>
    <x:row r="41" ht="21" customHeight="1"/>
    <x:row r="42" ht="21" customHeight="1"/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9" customHeight="1">
      <x:c r="A53" s="16" t="str">
        <x:v>WAS DU AUS DER PROGNOSE MITNEHMEN SOLLTEST</x:v>
      </x:c>
      <x:c r="B53" s="16"/>
      <x:c r="C53" s="16"/>
      <x:c r="D53" s="16"/>
      <x:c r="E53" s="16"/>
      <x:c r="F53" s="16"/>
      <x:c r="G53" s="16"/>
      <x:c r="H53" s="16"/>
      <x:c r="I53" s="16"/>
      <x:c r="J53" s="16"/>
      <x:c r="K53" s="16"/>
      <x:c r="L53" s="16"/>
      <x:c r="M53" s="16"/>
      <x:c r="N53" s="16"/>
      <x:c r="O53" s="16"/>
    </x:row>
    <x:row r="54" ht="21" customHeight="1"/>
    <x:row r="55" ht="33" customHeight="1">
      <x:c r="A55" s="21" t="str">
        <x:v>Datenstatus</x:v>
      </x:c>
      <x:c r="B55" s="21"/>
      <x:c r="C55" s="21"/>
      <x:c r="D55" s="21"/>
      <x:c r="E55" s="30" t="str">
        <x:f>IF(COUNTIF(FORDERUNGEN!$K$9:$K$28,"OK")=0,"ZUERST BESTÄTIGTE FORDERUNGEN EINTRAGEN",IF(K16&gt;0,"UNVOLLSTÄNDIGE DATEN UND SONDERZAHLUNGEN PRÜFEN","EINGABEN AUF AKTUALITÄT KONTROLLIEREN"))</x:f>
        <x:v>ZUERST BESTÄTIGTE FORDERUNGEN EINTRAGEN</x:v>
      </x:c>
      <x:c r="F55" s="30"/>
      <x:c r="G55" s="30"/>
      <x:c r="H55" s="30"/>
      <x:c r="I55" s="30"/>
      <x:c r="J55" s="30"/>
      <x:c r="K55" s="30"/>
      <x:c r="L55" s="30"/>
      <x:c r="M55" s="30"/>
      <x:c r="N55" s="30"/>
      <x:c r="O55" s="30"/>
    </x:row>
    <x:row r="56" ht="21" customHeight="1"/>
    <x:row r="57" ht="33" customHeight="1">
      <x:c r="A57" s="21" t="str">
        <x:v>Finanzierbarkeit</x:v>
      </x:c>
      <x:c r="B57" s="21"/>
      <x:c r="C57" s="21"/>
      <x:c r="D57" s="21"/>
      <x:c r="E57" s="30" t="str">
        <x:f>IF(STEUERUNG!$B$9="","MONATLICHES BUDGET EINTRAGEN",IF(K12&gt;0,"MINDESTRATEN ÜBERSTEIGEN BUDGET: BERATUNG / VEREINBARUNG KLÄREN","KEINE RECHNERISCHE MINDESTRATENLÜCKE"))</x:f>
        <x:v>MONATLICHES BUDGET EINTRAGEN</x:v>
      </x:c>
      <x:c r="F57" s="30"/>
      <x:c r="G57" s="30"/>
      <x:c r="H57" s="30"/>
      <x:c r="I57" s="30"/>
      <x:c r="J57" s="30"/>
      <x:c r="K57" s="30"/>
      <x:c r="L57" s="30"/>
      <x:c r="M57" s="30"/>
      <x:c r="N57" s="30"/>
      <x:c r="O57" s="30"/>
    </x:row>
    <x:row r="58" ht="21" customHeight="1"/>
    <x:row r="59" ht="33" customHeight="1">
      <x:c r="A59" s="21" t="str">
        <x:v>Modellgrenze</x:v>
      </x:c>
      <x:c r="B59" s="21"/>
      <x:c r="C59" s="21"/>
      <x:c r="D59" s="21"/>
      <x:c r="E59" s="30" t="str">
        <x:f>IF(OR(AND(ISNUMBER(F16),F16&gt;0),AND(ISNUMBER(A16),A16&gt;0)),"PLANNUNG IST EINE SCHÄTZUNG: SONDERZAHLUNGEN UND ZINSEN PRÜFEN","ZINSEN UND BUCHUNGEN WERDEN VEREINFACHT MODELLIERT")</x:f>
        <x:v>ZINSEN UND BUCHUNGEN WERDEN VEREINFACHT MODELLIERT</x:v>
      </x:c>
      <x:c r="F59" s="30"/>
      <x:c r="G59" s="30"/>
      <x:c r="H59" s="30"/>
      <x:c r="I59" s="30"/>
      <x:c r="J59" s="30"/>
      <x:c r="K59" s="30"/>
      <x:c r="L59" s="30"/>
      <x:c r="M59" s="30"/>
      <x:c r="N59" s="30"/>
      <x:c r="O59" s="30"/>
    </x:row>
    <x:row r="60" ht="21" customHeight="1"/>
    <x:row r="61" ht="21" customHeight="1"/>
    <x:row r="62" ht="45" customHeight="1">
      <x:c r="A62" s="37" t="str">
        <x:v>Schneeball und Zins-Lawine sind Rechenstrategien, keine individuelle Empfehlung. Realistische Vereinbarungen, Schutz des Lebensunterhalts und die Prüfung von Forderungen haben Vorrang.</x:v>
      </x:c>
      <x:c r="B62" s="37"/>
      <x:c r="C62" s="37"/>
      <x:c r="D62" s="37"/>
      <x:c r="E62" s="37"/>
      <x:c r="F62" s="37"/>
      <x:c r="G62" s="37"/>
      <x:c r="H62" s="37"/>
      <x:c r="I62" s="37"/>
      <x:c r="J62" s="37"/>
      <x:c r="K62" s="37"/>
      <x:c r="L62" s="37"/>
      <x:c r="M62" s="37"/>
      <x:c r="N62" s="37"/>
      <x:c r="O62" s="37"/>
    </x:row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</x:sheetData>
  <x:mergeCells>
    <x:mergeCell ref="A1:O2"/>
    <x:mergeCell ref="A3:O3"/>
    <x:mergeCell ref="A5:O5"/>
    <x:mergeCell ref="A7:E7"/>
    <x:mergeCell ref="A8:E9"/>
    <x:mergeCell ref="F7:J7"/>
    <x:mergeCell ref="F8:J9"/>
    <x:mergeCell ref="K7:O7"/>
    <x:mergeCell ref="K8:O9"/>
    <x:mergeCell ref="A11:E11"/>
    <x:mergeCell ref="A12:E13"/>
    <x:mergeCell ref="F11:J11"/>
    <x:mergeCell ref="F12:J13"/>
    <x:mergeCell ref="K11:O11"/>
    <x:mergeCell ref="K12:O13"/>
    <x:mergeCell ref="A15:E15"/>
    <x:mergeCell ref="A16:E17"/>
    <x:mergeCell ref="F15:J15"/>
    <x:mergeCell ref="F16:J17"/>
    <x:mergeCell ref="K15:O15"/>
    <x:mergeCell ref="K16:O17"/>
    <x:mergeCell ref="A19:O19"/>
    <x:mergeCell ref="A21:O21"/>
    <x:mergeCell ref="A23:E23"/>
    <x:mergeCell ref="F23:J23"/>
    <x:mergeCell ref="K23:O23"/>
    <x:mergeCell ref="A25:E25"/>
    <x:mergeCell ref="F25:J25"/>
    <x:mergeCell ref="K25:O25"/>
    <x:mergeCell ref="A27:E27"/>
    <x:mergeCell ref="F27:J27"/>
    <x:mergeCell ref="K27:O27"/>
    <x:mergeCell ref="A29:E29"/>
    <x:mergeCell ref="F29:J29"/>
    <x:mergeCell ref="K29:O29"/>
    <x:mergeCell ref="F22:J22"/>
    <x:mergeCell ref="K22:O22"/>
    <x:mergeCell ref="A32:O32"/>
    <x:mergeCell ref="A53:O53"/>
    <x:mergeCell ref="A55:D55"/>
    <x:mergeCell ref="E55:O55"/>
    <x:mergeCell ref="A57:D57"/>
    <x:mergeCell ref="E57:O57"/>
    <x:mergeCell ref="A59:D59"/>
    <x:mergeCell ref="E59:O59"/>
    <x:mergeCell ref="A62:O62"/>
  </x:mergeCells>
  <x:conditionalFormatting sqref="K12:O13">
    <x:cfRule type="expression" dxfId="10" priority="1">
      <x:formula>AND(ISNUMBER(K12),K12&gt;0)</x:formula>
    </x:cfRule>
  </x:conditionalFormatting>
  <x:conditionalFormatting sqref="K16:O17">
    <x:cfRule type="expression" dxfId="11" priority="2">
      <x:formula>AND(ISNUMBER(K16),K16&gt;0)</x:formula>
    </x:cfRule>
  </x:conditionalFormatting>
  <x:pageMargins left="0.7" right="0.7" top="0.75" bottom="0.75" header="0.3" footer="0.3"/>
  <x:drawing xmlns:r="http://schemas.openxmlformats.org/officeDocument/2006/relationships" r:id="Rf01c9983f9744cda"/>
</x:worksheet>
</file>

<file path=xl/worksheets/sheet3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22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20" hidden="0" customWidth="1"/>
  </x:cols>
  <x:sheetData>
    <x:row r="1" ht="29" customHeight="1">
      <x:c r="A1" s="4" t="str">
        <x:v>NURGELD.DE  /  STEUERUNG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8" customHeight="1">
      <x:c r="A3" s="10" t="str">
        <x:v>DIE WICHTIGSTEN EINGABEN  ·  Geld nur einplanen, wenn es nach den Lebenshaltungskosten übrig bleibt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4" ht="21" customHeight="1"/>
    <x:row r="5" ht="29" customHeight="1">
      <x:c r="A5" s="16" t="str">
        <x:v>PLANPARAMETER</x:v>
      </x:c>
      <x:c r="B5" s="16"/>
      <x:c r="C5" s="16"/>
      <x:c r="D5" s="16"/>
      <x:c r="E5" s="16"/>
      <x:c r="F5" s="16"/>
      <x:c r="G5" s="16"/>
      <x:c r="H5" s="16"/>
      <x:c r="I5" s="16"/>
      <x:c r="J5" s="16"/>
      <x:c r="K5" s="16"/>
      <x:c r="L5" s="16"/>
    </x:row>
    <x:row r="6" ht="21" customHeight="1"/>
    <x:row r="7" ht="36" customHeight="1">
      <x:c r="A7" s="40" t="str">
        <x:v>Startmonat</x:v>
      </x:c>
      <x:c r="B7" s="48" t="n">
        <x:f>DATE(YEAR(TODAY()),MONTH(TODAY()),1)</x:f>
        <x:v>46266</x:v>
      </x:c>
      <x:c r="C7" s="36" t="str">
        <x:v>Den ersten Kalendertag des gewünschten Startmonats eintragen.</x:v>
      </x:c>
      <x:c r="D7" s="36"/>
      <x:c r="E7" s="36"/>
      <x:c r="F7" s="36"/>
      <x:c r="G7" s="36"/>
      <x:c r="H7" s="36"/>
      <x:c r="I7" s="36"/>
      <x:c r="J7" s="36"/>
      <x:c r="K7" s="36"/>
      <x:c r="L7" s="36"/>
    </x:row>
    <x:row r="8" ht="21" customHeight="1"/>
    <x:row r="9" ht="36" customHeight="1">
      <x:c r="A9" s="40" t="str">
        <x:v>Monatliches Tilgungsbudget</x:v>
      </x:c>
      <x:c r="B9" s="52"/>
      <x:c r="C9" s="36" t="str">
        <x:v>Nur nach Miete, Essen, Energie und notwendigen Ausgaben tatsächlich verfügbares Geld.</x:v>
      </x:c>
      <x:c r="D9" s="36"/>
      <x:c r="E9" s="36"/>
      <x:c r="F9" s="36"/>
      <x:c r="G9" s="36"/>
      <x:c r="H9" s="36"/>
      <x:c r="I9" s="36"/>
      <x:c r="J9" s="36"/>
      <x:c r="K9" s="36"/>
      <x:c r="L9" s="36"/>
    </x:row>
    <x:row r="10" ht="21" customHeight="1"/>
    <x:row r="11" ht="36" customHeight="1">
      <x:c r="A11" s="40" t="str">
        <x:v>Dashboard-Strategie</x:v>
      </x:c>
      <x:c r="B11" s="54" t="str">
        <x:v>Schneeball</x:v>
      </x:c>
      <x:c r="C11" s="36" t="str">
        <x:v>Schneeball oder Zins-Lawine. Beide werden parallel vollständig berechnet.</x:v>
      </x:c>
      <x:c r="D11" s="36"/>
      <x:c r="E11" s="36"/>
      <x:c r="F11" s="36"/>
      <x:c r="G11" s="36"/>
      <x:c r="H11" s="36"/>
      <x:c r="I11" s="36"/>
      <x:c r="J11" s="36"/>
      <x:c r="K11" s="36"/>
      <x:c r="L11" s="36"/>
    </x:row>
    <x:row r="12" ht="21" customHeight="1"/>
    <x:row r="13" ht="36" customHeight="1">
      <x:c r="A13" s="40" t="str">
        <x:v>Auswertungsmonat (1–72)</x:v>
      </x:c>
      <x:c r="B13" s="58" t="n">
        <x:v>1</x:v>
      </x:c>
      <x:c r="C13" s="36" t="str">
        <x:v>1 = erster Planmonat; erlaubt den Zwischenstand jedes Gläubigers zu prüfen.</x:v>
      </x:c>
      <x:c r="D13" s="36"/>
      <x:c r="E13" s="36"/>
      <x:c r="F13" s="36"/>
      <x:c r="G13" s="36"/>
      <x:c r="H13" s="36"/>
      <x:c r="I13" s="36"/>
      <x:c r="J13" s="36"/>
      <x:c r="K13" s="36"/>
      <x:c r="L13" s="36"/>
    </x:row>
    <x:row r="14" ht="21" customHeight="1"/>
    <x:row r="15" ht="36" customHeight="1">
      <x:c r="A15" s="40" t="str">
        <x:v>Planungshorizont (Monate)</x:v>
      </x:c>
      <x:c r="B15" s="62" t="n">
        <x:v>72</x:v>
      </x:c>
      <x:c r="C15" s="36" t="str">
        <x:v>Fest: sechs Jahre. Restbeträge am Horizont werden als offen gekennzeichnet.</x:v>
      </x:c>
      <x:c r="D15" s="36"/>
      <x:c r="E15" s="36"/>
      <x:c r="F15" s="36"/>
      <x:c r="G15" s="36"/>
      <x:c r="H15" s="36"/>
      <x:c r="I15" s="36"/>
      <x:c r="J15" s="36"/>
      <x:c r="K15" s="36"/>
      <x:c r="L15" s="36"/>
    </x:row>
    <x:row r="16" ht="21" customHeight="1"/>
    <x:row r="17" ht="21" customHeight="1"/>
    <x:row r="18" ht="21" customHeight="1"/>
    <x:row r="19" ht="29" customHeight="1">
      <x:c r="A19" s="16" t="str">
        <x:v>SO WERDEN DIE BETRÄGE EINGEORDNET</x:v>
      </x:c>
      <x:c r="B19" s="16"/>
      <x:c r="C19" s="16"/>
      <x:c r="D19" s="16"/>
      <x:c r="E19" s="16"/>
      <x:c r="F19" s="16"/>
      <x:c r="G19" s="16"/>
      <x:c r="H19" s="16"/>
      <x:c r="I19" s="16"/>
      <x:c r="J19" s="16"/>
      <x:c r="K19" s="16"/>
      <x:c r="L19" s="16"/>
    </x:row>
    <x:row r="20" ht="21" customHeight="1"/>
    <x:row r="21" ht="36" customHeight="1">
      <x:c r="A21" s="37" t="str">
        <x:v>Das Tilgungsbudget ist KEIN zusätzliches Geld: Es enthält bereits alle regelmäßigen Mindestraten. Der Rest kann auf die priorisierte Forderung verteilt werden.</x:v>
      </x:c>
      <x:c r="B21" s="37"/>
      <x:c r="C21" s="37"/>
      <x:c r="D21" s="37"/>
      <x:c r="E21" s="37"/>
      <x:c r="F21" s="37"/>
      <x:c r="G21" s="37"/>
      <x:c r="H21" s="37"/>
      <x:c r="I21" s="37"/>
      <x:c r="J21" s="37"/>
      <x:c r="K21" s="37"/>
      <x:c r="L21" s="37"/>
    </x:row>
    <x:row r="22" ht="21" customHeight="1"/>
    <x:row r="23" ht="21" customHeight="1"/>
    <x:row r="24" ht="36" customHeight="1">
      <x:c r="A24" s="37" t="str">
        <x:v>Mindestraten sind angenommene vereinbarte Beträge, keine gerichtliche oder vertragliche Prüfung. Bei Budgetlücken zuerst Beratung und verbindliche Vereinbarungen klären.</x:v>
      </x:c>
      <x:c r="B24" s="37"/>
      <x:c r="C24" s="37"/>
      <x:c r="D24" s="37"/>
      <x:c r="E24" s="37"/>
      <x:c r="F24" s="37"/>
      <x:c r="G24" s="37"/>
      <x:c r="H24" s="37"/>
      <x:c r="I24" s="37"/>
      <x:c r="J24" s="37"/>
      <x:c r="K24" s="37"/>
      <x:c r="L24" s="37"/>
    </x:row>
    <x:row r="25" ht="21" customHeight="1"/>
    <x:row r="26" ht="21" customHeight="1"/>
    <x:row r="27" ht="36" customHeight="1">
      <x:c r="A27" s="37" t="str">
        <x:v>Der Jahreszins wird als konstanter nominaler Zinssatz angenommen. Veränderungen, Stundungen, Sondergebühren und tatsächliche Zinsberechnung können abweichen.</x:v>
      </x:c>
      <x:c r="B27" s="37"/>
      <x:c r="C27" s="37"/>
      <x:c r="D27" s="37"/>
      <x:c r="E27" s="37"/>
      <x:c r="F27" s="37"/>
      <x:c r="G27" s="37"/>
      <x:c r="H27" s="37"/>
      <x:c r="I27" s="37"/>
      <x:c r="J27" s="37"/>
      <x:c r="K27" s="37"/>
      <x:c r="L27" s="37"/>
    </x:row>
    <x:row r="28" ht="21" customHeight="1"/>
    <x:row r="29" ht="21" customHeight="1"/>
    <x:row r="30" ht="36" customHeight="1">
      <x:c r="A30" s="37" t="str">
        <x:v>Eine Sonderzahlung muss aus zusätzlichen, tatsächlich verfügbaren Mitteln kommen. Sonst wäre sie doppelt gerechnet und die Prognose zu optimistisch.</x:v>
      </x:c>
      <x:c r="B30" s="37"/>
      <x:c r="C30" s="37"/>
      <x:c r="D30" s="37"/>
      <x:c r="E30" s="37"/>
      <x:c r="F30" s="37"/>
      <x:c r="G30" s="37"/>
      <x:c r="H30" s="37"/>
      <x:c r="I30" s="37"/>
      <x:c r="J30" s="37"/>
      <x:c r="K30" s="37"/>
      <x:c r="L30" s="37"/>
    </x:row>
    <x:row r="31" ht="21" customHeight="1"/>
    <x:row r="32" ht="21" customHeight="1"/>
    <x:row r="33" ht="36" customHeight="1">
      <x:c r="A33" s="37" t="str">
        <x:v>Forderungen mit „Ungeprüft“ oder „Bestritten“ bleiben auch bei „Ja“ im Einbeziehungsfeld ausgeschlossen, bis der Status bewusst geändert wurde.</x:v>
      </x:c>
      <x:c r="B33" s="37"/>
      <x:c r="C33" s="37"/>
      <x:c r="D33" s="37"/>
      <x:c r="E33" s="37"/>
      <x:c r="F33" s="37"/>
      <x:c r="G33" s="37"/>
      <x:c r="H33" s="37"/>
      <x:c r="I33" s="37"/>
      <x:c r="J33" s="37"/>
      <x:c r="K33" s="37"/>
      <x:c r="L33" s="37"/>
    </x:row>
    <x:row r="34" ht="21" customHeight="1"/>
    <x:row r="35" ht="21" customHeight="1"/>
    <x:row r="36" ht="21" customHeight="1"/>
    <x:row r="37" ht="21" customHeight="1"/>
    <x:row r="38" ht="21" customHeight="1"/>
    <x:row r="39" ht="21" customHeight="1"/>
    <x:row r="40" ht="21" customHeight="1"/>
    <x:row r="41" ht="21" customHeight="1"/>
    <x:row r="42" ht="21" customHeight="1"/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</x:sheetData>
  <x:mergeCells>
    <x:mergeCell ref="A1:L2"/>
    <x:mergeCell ref="A3:L3"/>
    <x:mergeCell ref="A5:L5"/>
    <x:mergeCell ref="C7:L7"/>
    <x:mergeCell ref="C9:L9"/>
    <x:mergeCell ref="C11:L11"/>
    <x:mergeCell ref="C13:L13"/>
    <x:mergeCell ref="C15:L15"/>
    <x:mergeCell ref="A19:L19"/>
    <x:mergeCell ref="A21:L21"/>
    <x:mergeCell ref="A24:L24"/>
    <x:mergeCell ref="A27:L27"/>
    <x:mergeCell ref="A30:L30"/>
    <x:mergeCell ref="A33:L33"/>
  </x:mergeCells>
  <x:conditionalFormatting sqref="B9:B9">
    <x:cfRule type="expression" dxfId="0" priority="1">
      <x:formula>OR(B9="",B9&lt;0)</x:formula>
    </x:cfRule>
  </x:conditionalFormatting>
  <x:dataValidations count="2">
    <x:dataValidation type="list" sqref="B11">
      <x:formula1>"Schneeball,Zins-Lawine"</x:formula1>
    </x:dataValidation>
    <x:dataValidation type="whole" operator="between" sqref="B13">
      <x:formula1>1</x:formula1>
      <x:formula2>72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0" hidden="0" customWidth="1"/>
    <x:col min="3" max="3" width="21" hidden="0" customWidth="1"/>
    <x:col min="4" max="4" width="18" hidden="0" customWidth="1"/>
    <x:col min="5" max="5" width="19" hidden="0" customWidth="1"/>
    <x:col min="6" max="6" width="17" hidden="0" customWidth="1"/>
    <x:col min="7" max="7" width="19" hidden="0" customWidth="1"/>
    <x:col min="8" max="8" width="16" hidden="0" customWidth="1"/>
    <x:col min="9" max="9" width="22" hidden="0" customWidth="1"/>
    <x:col min="10" max="10" width="34" hidden="0" customWidth="1"/>
    <x:col min="11" max="11" width="21" hidden="0" customWidth="1"/>
    <x:col min="12" max="12" width="16" hidden="0" customWidth="1"/>
    <x:col min="13" max="13" width="16" hidden="0" customWidth="1"/>
    <x:col min="14" max="14" width="20" hidden="0" customWidth="1"/>
  </x:cols>
  <x:sheetData>
    <x:row r="1" ht="29" customHeight="1">
      <x:c r="A1" s="4" t="str">
        <x:v>NURGELD.DE  /  FORDERUNGEN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8" customHeight="1">
      <x:c r="A3" s="10" t="str">
        <x:v>20 POSITIONEN  ·  Forderungsstatus prüfen  ·  Zins und Mindestrate sind Planannahmen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 ht="21" customHeight="1"/>
    <x:row r="5" ht="40" customHeight="1">
      <x:c r="A5" s="37" t="str">
        <x:v>Nur vollständige, ausdrücklich bestätigte Forderungen mit „Einbeziehen? = Ja“ fließen in die Strategien. Blau ausfüllen; Datencheck und Reihenfolge sind automatisch. Keine Kontonummern nötig.</x:v>
      </x:c>
      <x:c r="B5" s="37"/>
      <x:c r="C5" s="37"/>
      <x:c r="D5" s="37"/>
      <x:c r="E5" s="37"/>
      <x:c r="F5" s="37"/>
      <x:c r="G5" s="37"/>
      <x:c r="H5" s="37"/>
      <x:c r="I5" s="37"/>
      <x:c r="J5" s="37"/>
      <x:c r="K5" s="37"/>
      <x:c r="L5" s="37"/>
      <x:c r="M5" s="37"/>
      <x:c r="N5" s="37"/>
    </x:row>
    <x:row r="6" ht="21" customHeight="1"/>
    <x:row r="7" ht="21" customHeight="1"/>
    <x:row r="8" ht="41" customHeight="1">
      <x:c r="A8" s="66" t="str">
        <x:v>ID</x:v>
      </x:c>
      <x:c r="B8" s="66" t="str">
        <x:v>Gläubiger / Kürzel</x:v>
      </x:c>
      <x:c r="C8" s="66" t="str">
        <x:v>Forderungsart</x:v>
      </x:c>
      <x:c r="D8" s="66" t="str">
        <x:v>Prüfstatus</x:v>
      </x:c>
      <x:c r="E8" s="66" t="str">
        <x:v>Startsaldo (€)</x:v>
      </x:c>
      <x:c r="F8" s="66" t="str">
        <x:v>Zins p. a. (%)</x:v>
      </x:c>
      <x:c r="G8" s="66" t="str">
        <x:v>Mindestrate (€)</x:v>
      </x:c>
      <x:c r="H8" s="66" t="str">
        <x:v>Einbeziehen?</x:v>
      </x:c>
      <x:c r="I8" s="66" t="str">
        <x:v>Vereinbarung</x:v>
      </x:c>
      <x:c r="J8" s="66" t="str">
        <x:v>Notiz (optional)</x:v>
      </x:c>
      <x:c r="K8" s="66" t="str">
        <x:v>Datencheck</x:v>
      </x:c>
      <x:c r="L8" s="66" t="str">
        <x:v>Rang Schnee</x:v>
      </x:c>
      <x:c r="M8" s="66" t="str">
        <x:v>Rang Lawine</x:v>
      </x:c>
      <x:c r="N8" s="66" t="str">
        <x:v>Zins 1. Monat (€)</x:v>
      </x:c>
    </x:row>
    <x:row r="9" ht="21" customHeight="1">
      <x:c r="A9" t="n">
        <x:v>1</x:v>
      </x:c>
      <x:c r="B9" s="44"/>
      <x:c r="C9" s="44"/>
      <x:c r="D9" s="44"/>
      <x:c r="E9" s="50"/>
      <x:c r="F9" s="70"/>
      <x:c r="G9" s="50"/>
      <x:c r="H9" s="44"/>
      <x:c r="I9" s="44"/>
      <x:c r="J9" s="44"/>
      <x:c r="K9" s="72" t="str">
        <x:f>IF(COUNTA(B9:J9)=0,"",IF(OR(B9="",D9="",H9="",NOT(ISNUMBER(E9)),NOT(ISNUMBER(F9)),NOT(ISNUMBER(G9))),"PRÜFEN",IF(OR(E9&lt;0,F9&lt;0,F9&gt;1,G9&lt;0),"PRÜFEN",IF(AND(D9="Bestätigt",H9="Ja",E9&gt;0),"OK","NICHT IM PLAN"))))</x:f>
      </x:c>
      <x:c r="L9" s="74" t="str">
        <x:f>IF(K9&lt;&gt;"OK","",1+COUNTIFS($K$9:$K$28,"OK",$E$9:$E$28,"&lt;"&amp;E9)+COUNTIFS($K$9:$K$28,"OK",$E$9:$E$28,E9,$A$9:$A$28,"&lt;"&amp;A9))</x:f>
      </x:c>
      <x:c r="M9" s="74" t="str">
        <x:f>IF(K9&lt;&gt;"OK","",1+COUNTIFS($K$9:$K$28,"OK",$F$9:$F$28,"&gt;"&amp;F9)+COUNTIFS($K$9:$K$28,"OK",$F$9:$F$28,F9,$A$9:$A$28,"&lt;"&amp;A9))</x:f>
      </x:c>
      <x:c r="N9" s="76" t="str">
        <x:f>IF(K9&lt;&gt;"OK","",ROUND(E9*F9/12,2))</x:f>
      </x:c>
    </x:row>
    <x:row r="10" ht="21" customHeight="1">
      <x:c r="A10" t="n">
        <x:v>2</x:v>
      </x:c>
      <x:c r="B10" s="44"/>
      <x:c r="C10" s="44"/>
      <x:c r="D10" s="44"/>
      <x:c r="E10" s="50"/>
      <x:c r="F10" s="70"/>
      <x:c r="G10" s="50"/>
      <x:c r="H10" s="44"/>
      <x:c r="I10" s="44"/>
      <x:c r="J10" s="44"/>
      <x:c r="K10" s="72" t="str">
        <x:f>IF(COUNTA(B10:J10)=0,"",IF(OR(B10="",D10="",H10="",NOT(ISNUMBER(E10)),NOT(ISNUMBER(F10)),NOT(ISNUMBER(G10))),"PRÜFEN",IF(OR(E10&lt;0,F10&lt;0,F10&gt;1,G10&lt;0),"PRÜFEN",IF(AND(D10="Bestätigt",H10="Ja",E10&gt;0),"OK","NICHT IM PLAN"))))</x:f>
      </x:c>
      <x:c r="L10" s="74" t="str">
        <x:f>IF(K10&lt;&gt;"OK","",1+COUNTIFS($K$9:$K$28,"OK",$E$9:$E$28,"&lt;"&amp;E10)+COUNTIFS($K$9:$K$28,"OK",$E$9:$E$28,E10,$A$9:$A$28,"&lt;"&amp;A10))</x:f>
      </x:c>
      <x:c r="M10" s="74" t="str">
        <x:f>IF(K10&lt;&gt;"OK","",1+COUNTIFS($K$9:$K$28,"OK",$F$9:$F$28,"&gt;"&amp;F10)+COUNTIFS($K$9:$K$28,"OK",$F$9:$F$28,F10,$A$9:$A$28,"&lt;"&amp;A10))</x:f>
      </x:c>
      <x:c r="N10" s="76" t="str">
        <x:f>IF(K10&lt;&gt;"OK","",ROUND(E10*F10/12,2))</x:f>
      </x:c>
    </x:row>
    <x:row r="11" ht="21" customHeight="1">
      <x:c r="A11" t="n">
        <x:v>3</x:v>
      </x:c>
      <x:c r="B11" s="44"/>
      <x:c r="C11" s="44"/>
      <x:c r="D11" s="44"/>
      <x:c r="E11" s="50"/>
      <x:c r="F11" s="70"/>
      <x:c r="G11" s="50"/>
      <x:c r="H11" s="44"/>
      <x:c r="I11" s="44"/>
      <x:c r="J11" s="44"/>
      <x:c r="K11" s="72" t="str">
        <x:f>IF(COUNTA(B11:J11)=0,"",IF(OR(B11="",D11="",H11="",NOT(ISNUMBER(E11)),NOT(ISNUMBER(F11)),NOT(ISNUMBER(G11))),"PRÜFEN",IF(OR(E11&lt;0,F11&lt;0,F11&gt;1,G11&lt;0),"PRÜFEN",IF(AND(D11="Bestätigt",H11="Ja",E11&gt;0),"OK","NICHT IM PLAN"))))</x:f>
      </x:c>
      <x:c r="L11" s="74" t="str">
        <x:f>IF(K11&lt;&gt;"OK","",1+COUNTIFS($K$9:$K$28,"OK",$E$9:$E$28,"&lt;"&amp;E11)+COUNTIFS($K$9:$K$28,"OK",$E$9:$E$28,E11,$A$9:$A$28,"&lt;"&amp;A11))</x:f>
      </x:c>
      <x:c r="M11" s="74" t="str">
        <x:f>IF(K11&lt;&gt;"OK","",1+COUNTIFS($K$9:$K$28,"OK",$F$9:$F$28,"&gt;"&amp;F11)+COUNTIFS($K$9:$K$28,"OK",$F$9:$F$28,F11,$A$9:$A$28,"&lt;"&amp;A11))</x:f>
      </x:c>
      <x:c r="N11" s="76" t="str">
        <x:f>IF(K11&lt;&gt;"OK","",ROUND(E11*F11/12,2))</x:f>
      </x:c>
    </x:row>
    <x:row r="12" ht="21" customHeight="1">
      <x:c r="A12" t="n">
        <x:v>4</x:v>
      </x:c>
      <x:c r="B12" s="44"/>
      <x:c r="C12" s="44"/>
      <x:c r="D12" s="44"/>
      <x:c r="E12" s="50"/>
      <x:c r="F12" s="70"/>
      <x:c r="G12" s="50"/>
      <x:c r="H12" s="44"/>
      <x:c r="I12" s="44"/>
      <x:c r="J12" s="44"/>
      <x:c r="K12" s="72" t="str">
        <x:f>IF(COUNTA(B12:J12)=0,"",IF(OR(B12="",D12="",H12="",NOT(ISNUMBER(E12)),NOT(ISNUMBER(F12)),NOT(ISNUMBER(G12))),"PRÜFEN",IF(OR(E12&lt;0,F12&lt;0,F12&gt;1,G12&lt;0),"PRÜFEN",IF(AND(D12="Bestätigt",H12="Ja",E12&gt;0),"OK","NICHT IM PLAN"))))</x:f>
      </x:c>
      <x:c r="L12" s="74" t="str">
        <x:f>IF(K12&lt;&gt;"OK","",1+COUNTIFS($K$9:$K$28,"OK",$E$9:$E$28,"&lt;"&amp;E12)+COUNTIFS($K$9:$K$28,"OK",$E$9:$E$28,E12,$A$9:$A$28,"&lt;"&amp;A12))</x:f>
      </x:c>
      <x:c r="M12" s="74" t="str">
        <x:f>IF(K12&lt;&gt;"OK","",1+COUNTIFS($K$9:$K$28,"OK",$F$9:$F$28,"&gt;"&amp;F12)+COUNTIFS($K$9:$K$28,"OK",$F$9:$F$28,F12,$A$9:$A$28,"&lt;"&amp;A12))</x:f>
      </x:c>
      <x:c r="N12" s="76" t="str">
        <x:f>IF(K12&lt;&gt;"OK","",ROUND(E12*F12/12,2))</x:f>
      </x:c>
    </x:row>
    <x:row r="13" ht="21" customHeight="1">
      <x:c r="A13" t="n">
        <x:v>5</x:v>
      </x:c>
      <x:c r="B13" s="44"/>
      <x:c r="C13" s="44"/>
      <x:c r="D13" s="44"/>
      <x:c r="E13" s="50"/>
      <x:c r="F13" s="70"/>
      <x:c r="G13" s="50"/>
      <x:c r="H13" s="44"/>
      <x:c r="I13" s="44"/>
      <x:c r="J13" s="44"/>
      <x:c r="K13" s="72" t="str">
        <x:f>IF(COUNTA(B13:J13)=0,"",IF(OR(B13="",D13="",H13="",NOT(ISNUMBER(E13)),NOT(ISNUMBER(F13)),NOT(ISNUMBER(G13))),"PRÜFEN",IF(OR(E13&lt;0,F13&lt;0,F13&gt;1,G13&lt;0),"PRÜFEN",IF(AND(D13="Bestätigt",H13="Ja",E13&gt;0),"OK","NICHT IM PLAN"))))</x:f>
      </x:c>
      <x:c r="L13" s="74" t="str">
        <x:f>IF(K13&lt;&gt;"OK","",1+COUNTIFS($K$9:$K$28,"OK",$E$9:$E$28,"&lt;"&amp;E13)+COUNTIFS($K$9:$K$28,"OK",$E$9:$E$28,E13,$A$9:$A$28,"&lt;"&amp;A13))</x:f>
      </x:c>
      <x:c r="M13" s="74" t="str">
        <x:f>IF(K13&lt;&gt;"OK","",1+COUNTIFS($K$9:$K$28,"OK",$F$9:$F$28,"&gt;"&amp;F13)+COUNTIFS($K$9:$K$28,"OK",$F$9:$F$28,F13,$A$9:$A$28,"&lt;"&amp;A13))</x:f>
      </x:c>
      <x:c r="N13" s="76" t="str">
        <x:f>IF(K13&lt;&gt;"OK","",ROUND(E13*F13/12,2))</x:f>
      </x:c>
    </x:row>
    <x:row r="14" ht="21" customHeight="1">
      <x:c r="A14" t="n">
        <x:v>6</x:v>
      </x:c>
      <x:c r="B14" s="44"/>
      <x:c r="C14" s="44"/>
      <x:c r="D14" s="44"/>
      <x:c r="E14" s="50"/>
      <x:c r="F14" s="70"/>
      <x:c r="G14" s="50"/>
      <x:c r="H14" s="44"/>
      <x:c r="I14" s="44"/>
      <x:c r="J14" s="44"/>
      <x:c r="K14" s="72" t="str">
        <x:f>IF(COUNTA(B14:J14)=0,"",IF(OR(B14="",D14="",H14="",NOT(ISNUMBER(E14)),NOT(ISNUMBER(F14)),NOT(ISNUMBER(G14))),"PRÜFEN",IF(OR(E14&lt;0,F14&lt;0,F14&gt;1,G14&lt;0),"PRÜFEN",IF(AND(D14="Bestätigt",H14="Ja",E14&gt;0),"OK","NICHT IM PLAN"))))</x:f>
      </x:c>
      <x:c r="L14" s="74" t="str">
        <x:f>IF(K14&lt;&gt;"OK","",1+COUNTIFS($K$9:$K$28,"OK",$E$9:$E$28,"&lt;"&amp;E14)+COUNTIFS($K$9:$K$28,"OK",$E$9:$E$28,E14,$A$9:$A$28,"&lt;"&amp;A14))</x:f>
      </x:c>
      <x:c r="M14" s="74" t="str">
        <x:f>IF(K14&lt;&gt;"OK","",1+COUNTIFS($K$9:$K$28,"OK",$F$9:$F$28,"&gt;"&amp;F14)+COUNTIFS($K$9:$K$28,"OK",$F$9:$F$28,F14,$A$9:$A$28,"&lt;"&amp;A14))</x:f>
      </x:c>
      <x:c r="N14" s="76" t="str">
        <x:f>IF(K14&lt;&gt;"OK","",ROUND(E14*F14/12,2))</x:f>
      </x:c>
    </x:row>
    <x:row r="15" ht="21" customHeight="1">
      <x:c r="A15" t="n">
        <x:v>7</x:v>
      </x:c>
      <x:c r="B15" s="44"/>
      <x:c r="C15" s="44"/>
      <x:c r="D15" s="44"/>
      <x:c r="E15" s="50"/>
      <x:c r="F15" s="70"/>
      <x:c r="G15" s="50"/>
      <x:c r="H15" s="44"/>
      <x:c r="I15" s="44"/>
      <x:c r="J15" s="44"/>
      <x:c r="K15" s="72" t="str">
        <x:f>IF(COUNTA(B15:J15)=0,"",IF(OR(B15="",D15="",H15="",NOT(ISNUMBER(E15)),NOT(ISNUMBER(F15)),NOT(ISNUMBER(G15))),"PRÜFEN",IF(OR(E15&lt;0,F15&lt;0,F15&gt;1,G15&lt;0),"PRÜFEN",IF(AND(D15="Bestätigt",H15="Ja",E15&gt;0),"OK","NICHT IM PLAN"))))</x:f>
      </x:c>
      <x:c r="L15" s="74" t="str">
        <x:f>IF(K15&lt;&gt;"OK","",1+COUNTIFS($K$9:$K$28,"OK",$E$9:$E$28,"&lt;"&amp;E15)+COUNTIFS($K$9:$K$28,"OK",$E$9:$E$28,E15,$A$9:$A$28,"&lt;"&amp;A15))</x:f>
      </x:c>
      <x:c r="M15" s="74" t="str">
        <x:f>IF(K15&lt;&gt;"OK","",1+COUNTIFS($K$9:$K$28,"OK",$F$9:$F$28,"&gt;"&amp;F15)+COUNTIFS($K$9:$K$28,"OK",$F$9:$F$28,F15,$A$9:$A$28,"&lt;"&amp;A15))</x:f>
      </x:c>
      <x:c r="N15" s="76" t="str">
        <x:f>IF(K15&lt;&gt;"OK","",ROUND(E15*F15/12,2))</x:f>
      </x:c>
    </x:row>
    <x:row r="16" ht="21" customHeight="1">
      <x:c r="A16" t="n">
        <x:v>8</x:v>
      </x:c>
      <x:c r="B16" s="44"/>
      <x:c r="C16" s="44"/>
      <x:c r="D16" s="44"/>
      <x:c r="E16" s="50"/>
      <x:c r="F16" s="70"/>
      <x:c r="G16" s="50"/>
      <x:c r="H16" s="44"/>
      <x:c r="I16" s="44"/>
      <x:c r="J16" s="44"/>
      <x:c r="K16" s="72" t="str">
        <x:f>IF(COUNTA(B16:J16)=0,"",IF(OR(B16="",D16="",H16="",NOT(ISNUMBER(E16)),NOT(ISNUMBER(F16)),NOT(ISNUMBER(G16))),"PRÜFEN",IF(OR(E16&lt;0,F16&lt;0,F16&gt;1,G16&lt;0),"PRÜFEN",IF(AND(D16="Bestätigt",H16="Ja",E16&gt;0),"OK","NICHT IM PLAN"))))</x:f>
      </x:c>
      <x:c r="L16" s="74" t="str">
        <x:f>IF(K16&lt;&gt;"OK","",1+COUNTIFS($K$9:$K$28,"OK",$E$9:$E$28,"&lt;"&amp;E16)+COUNTIFS($K$9:$K$28,"OK",$E$9:$E$28,E16,$A$9:$A$28,"&lt;"&amp;A16))</x:f>
      </x:c>
      <x:c r="M16" s="74" t="str">
        <x:f>IF(K16&lt;&gt;"OK","",1+COUNTIFS($K$9:$K$28,"OK",$F$9:$F$28,"&gt;"&amp;F16)+COUNTIFS($K$9:$K$28,"OK",$F$9:$F$28,F16,$A$9:$A$28,"&lt;"&amp;A16))</x:f>
      </x:c>
      <x:c r="N16" s="76" t="str">
        <x:f>IF(K16&lt;&gt;"OK","",ROUND(E16*F16/12,2))</x:f>
      </x:c>
    </x:row>
    <x:row r="17" ht="21" customHeight="1">
      <x:c r="A17" t="n">
        <x:v>9</x:v>
      </x:c>
      <x:c r="B17" s="44"/>
      <x:c r="C17" s="44"/>
      <x:c r="D17" s="44"/>
      <x:c r="E17" s="50"/>
      <x:c r="F17" s="70"/>
      <x:c r="G17" s="50"/>
      <x:c r="H17" s="44"/>
      <x:c r="I17" s="44"/>
      <x:c r="J17" s="44"/>
      <x:c r="K17" s="72" t="str">
        <x:f>IF(COUNTA(B17:J17)=0,"",IF(OR(B17="",D17="",H17="",NOT(ISNUMBER(E17)),NOT(ISNUMBER(F17)),NOT(ISNUMBER(G17))),"PRÜFEN",IF(OR(E17&lt;0,F17&lt;0,F17&gt;1,G17&lt;0),"PRÜFEN",IF(AND(D17="Bestätigt",H17="Ja",E17&gt;0),"OK","NICHT IM PLAN"))))</x:f>
      </x:c>
      <x:c r="L17" s="74" t="str">
        <x:f>IF(K17&lt;&gt;"OK","",1+COUNTIFS($K$9:$K$28,"OK",$E$9:$E$28,"&lt;"&amp;E17)+COUNTIFS($K$9:$K$28,"OK",$E$9:$E$28,E17,$A$9:$A$28,"&lt;"&amp;A17))</x:f>
      </x:c>
      <x:c r="M17" s="74" t="str">
        <x:f>IF(K17&lt;&gt;"OK","",1+COUNTIFS($K$9:$K$28,"OK",$F$9:$F$28,"&gt;"&amp;F17)+COUNTIFS($K$9:$K$28,"OK",$F$9:$F$28,F17,$A$9:$A$28,"&lt;"&amp;A17))</x:f>
      </x:c>
      <x:c r="N17" s="76" t="str">
        <x:f>IF(K17&lt;&gt;"OK","",ROUND(E17*F17/12,2))</x:f>
      </x:c>
    </x:row>
    <x:row r="18" ht="21" customHeight="1">
      <x:c r="A18" t="n">
        <x:v>10</x:v>
      </x:c>
      <x:c r="B18" s="44"/>
      <x:c r="C18" s="44"/>
      <x:c r="D18" s="44"/>
      <x:c r="E18" s="50"/>
      <x:c r="F18" s="70"/>
      <x:c r="G18" s="50"/>
      <x:c r="H18" s="44"/>
      <x:c r="I18" s="44"/>
      <x:c r="J18" s="44"/>
      <x:c r="K18" s="72" t="str">
        <x:f>IF(COUNTA(B18:J18)=0,"",IF(OR(B18="",D18="",H18="",NOT(ISNUMBER(E18)),NOT(ISNUMBER(F18)),NOT(ISNUMBER(G18))),"PRÜFEN",IF(OR(E18&lt;0,F18&lt;0,F18&gt;1,G18&lt;0),"PRÜFEN",IF(AND(D18="Bestätigt",H18="Ja",E18&gt;0),"OK","NICHT IM PLAN"))))</x:f>
      </x:c>
      <x:c r="L18" s="74" t="str">
        <x:f>IF(K18&lt;&gt;"OK","",1+COUNTIFS($K$9:$K$28,"OK",$E$9:$E$28,"&lt;"&amp;E18)+COUNTIFS($K$9:$K$28,"OK",$E$9:$E$28,E18,$A$9:$A$28,"&lt;"&amp;A18))</x:f>
      </x:c>
      <x:c r="M18" s="74" t="str">
        <x:f>IF(K18&lt;&gt;"OK","",1+COUNTIFS($K$9:$K$28,"OK",$F$9:$F$28,"&gt;"&amp;F18)+COUNTIFS($K$9:$K$28,"OK",$F$9:$F$28,F18,$A$9:$A$28,"&lt;"&amp;A18))</x:f>
      </x:c>
      <x:c r="N18" s="76" t="str">
        <x:f>IF(K18&lt;&gt;"OK","",ROUND(E18*F18/12,2))</x:f>
      </x:c>
    </x:row>
    <x:row r="19" ht="21" customHeight="1">
      <x:c r="A19" t="n">
        <x:v>11</x:v>
      </x:c>
      <x:c r="B19" s="44"/>
      <x:c r="C19" s="44"/>
      <x:c r="D19" s="44"/>
      <x:c r="E19" s="50"/>
      <x:c r="F19" s="70"/>
      <x:c r="G19" s="50"/>
      <x:c r="H19" s="44"/>
      <x:c r="I19" s="44"/>
      <x:c r="J19" s="44"/>
      <x:c r="K19" s="72" t="str">
        <x:f>IF(COUNTA(B19:J19)=0,"",IF(OR(B19="",D19="",H19="",NOT(ISNUMBER(E19)),NOT(ISNUMBER(F19)),NOT(ISNUMBER(G19))),"PRÜFEN",IF(OR(E19&lt;0,F19&lt;0,F19&gt;1,G19&lt;0),"PRÜFEN",IF(AND(D19="Bestätigt",H19="Ja",E19&gt;0),"OK","NICHT IM PLAN"))))</x:f>
      </x:c>
      <x:c r="L19" s="74" t="str">
        <x:f>IF(K19&lt;&gt;"OK","",1+COUNTIFS($K$9:$K$28,"OK",$E$9:$E$28,"&lt;"&amp;E19)+COUNTIFS($K$9:$K$28,"OK",$E$9:$E$28,E19,$A$9:$A$28,"&lt;"&amp;A19))</x:f>
      </x:c>
      <x:c r="M19" s="74" t="str">
        <x:f>IF(K19&lt;&gt;"OK","",1+COUNTIFS($K$9:$K$28,"OK",$F$9:$F$28,"&gt;"&amp;F19)+COUNTIFS($K$9:$K$28,"OK",$F$9:$F$28,F19,$A$9:$A$28,"&lt;"&amp;A19))</x:f>
      </x:c>
      <x:c r="N19" s="76" t="str">
        <x:f>IF(K19&lt;&gt;"OK","",ROUND(E19*F19/12,2))</x:f>
      </x:c>
    </x:row>
    <x:row r="20" ht="21" customHeight="1">
      <x:c r="A20" t="n">
        <x:v>12</x:v>
      </x:c>
      <x:c r="B20" s="44"/>
      <x:c r="C20" s="44"/>
      <x:c r="D20" s="44"/>
      <x:c r="E20" s="50"/>
      <x:c r="F20" s="70"/>
      <x:c r="G20" s="50"/>
      <x:c r="H20" s="44"/>
      <x:c r="I20" s="44"/>
      <x:c r="J20" s="44"/>
      <x:c r="K20" s="72" t="str">
        <x:f>IF(COUNTA(B20:J20)=0,"",IF(OR(B20="",D20="",H20="",NOT(ISNUMBER(E20)),NOT(ISNUMBER(F20)),NOT(ISNUMBER(G20))),"PRÜFEN",IF(OR(E20&lt;0,F20&lt;0,F20&gt;1,G20&lt;0),"PRÜFEN",IF(AND(D20="Bestätigt",H20="Ja",E20&gt;0),"OK","NICHT IM PLAN"))))</x:f>
      </x:c>
      <x:c r="L20" s="74" t="str">
        <x:f>IF(K20&lt;&gt;"OK","",1+COUNTIFS($K$9:$K$28,"OK",$E$9:$E$28,"&lt;"&amp;E20)+COUNTIFS($K$9:$K$28,"OK",$E$9:$E$28,E20,$A$9:$A$28,"&lt;"&amp;A20))</x:f>
      </x:c>
      <x:c r="M20" s="74" t="str">
        <x:f>IF(K20&lt;&gt;"OK","",1+COUNTIFS($K$9:$K$28,"OK",$F$9:$F$28,"&gt;"&amp;F20)+COUNTIFS($K$9:$K$28,"OK",$F$9:$F$28,F20,$A$9:$A$28,"&lt;"&amp;A20))</x:f>
      </x:c>
      <x:c r="N20" s="76" t="str">
        <x:f>IF(K20&lt;&gt;"OK","",ROUND(E20*F20/12,2))</x:f>
      </x:c>
    </x:row>
    <x:row r="21" ht="21" customHeight="1">
      <x:c r="A21" t="n">
        <x:v>13</x:v>
      </x:c>
      <x:c r="B21" s="44"/>
      <x:c r="C21" s="44"/>
      <x:c r="D21" s="44"/>
      <x:c r="E21" s="50"/>
      <x:c r="F21" s="70"/>
      <x:c r="G21" s="50"/>
      <x:c r="H21" s="44"/>
      <x:c r="I21" s="44"/>
      <x:c r="J21" s="44"/>
      <x:c r="K21" s="72" t="str">
        <x:f>IF(COUNTA(B21:J21)=0,"",IF(OR(B21="",D21="",H21="",NOT(ISNUMBER(E21)),NOT(ISNUMBER(F21)),NOT(ISNUMBER(G21))),"PRÜFEN",IF(OR(E21&lt;0,F21&lt;0,F21&gt;1,G21&lt;0),"PRÜFEN",IF(AND(D21="Bestätigt",H21="Ja",E21&gt;0),"OK","NICHT IM PLAN"))))</x:f>
      </x:c>
      <x:c r="L21" s="74" t="str">
        <x:f>IF(K21&lt;&gt;"OK","",1+COUNTIFS($K$9:$K$28,"OK",$E$9:$E$28,"&lt;"&amp;E21)+COUNTIFS($K$9:$K$28,"OK",$E$9:$E$28,E21,$A$9:$A$28,"&lt;"&amp;A21))</x:f>
      </x:c>
      <x:c r="M21" s="74" t="str">
        <x:f>IF(K21&lt;&gt;"OK","",1+COUNTIFS($K$9:$K$28,"OK",$F$9:$F$28,"&gt;"&amp;F21)+COUNTIFS($K$9:$K$28,"OK",$F$9:$F$28,F21,$A$9:$A$28,"&lt;"&amp;A21))</x:f>
      </x:c>
      <x:c r="N21" s="76" t="str">
        <x:f>IF(K21&lt;&gt;"OK","",ROUND(E21*F21/12,2))</x:f>
      </x:c>
    </x:row>
    <x:row r="22" ht="21" customHeight="1">
      <x:c r="A22" t="n">
        <x:v>14</x:v>
      </x:c>
      <x:c r="B22" s="44"/>
      <x:c r="C22" s="44"/>
      <x:c r="D22" s="44"/>
      <x:c r="E22" s="50"/>
      <x:c r="F22" s="70"/>
      <x:c r="G22" s="50"/>
      <x:c r="H22" s="44"/>
      <x:c r="I22" s="44"/>
      <x:c r="J22" s="44"/>
      <x:c r="K22" s="72" t="str">
        <x:f>IF(COUNTA(B22:J22)=0,"",IF(OR(B22="",D22="",H22="",NOT(ISNUMBER(E22)),NOT(ISNUMBER(F22)),NOT(ISNUMBER(G22))),"PRÜFEN",IF(OR(E22&lt;0,F22&lt;0,F22&gt;1,G22&lt;0),"PRÜFEN",IF(AND(D22="Bestätigt",H22="Ja",E22&gt;0),"OK","NICHT IM PLAN"))))</x:f>
      </x:c>
      <x:c r="L22" s="74" t="str">
        <x:f>IF(K22&lt;&gt;"OK","",1+COUNTIFS($K$9:$K$28,"OK",$E$9:$E$28,"&lt;"&amp;E22)+COUNTIFS($K$9:$K$28,"OK",$E$9:$E$28,E22,$A$9:$A$28,"&lt;"&amp;A22))</x:f>
      </x:c>
      <x:c r="M22" s="74" t="str">
        <x:f>IF(K22&lt;&gt;"OK","",1+COUNTIFS($K$9:$K$28,"OK",$F$9:$F$28,"&gt;"&amp;F22)+COUNTIFS($K$9:$K$28,"OK",$F$9:$F$28,F22,$A$9:$A$28,"&lt;"&amp;A22))</x:f>
      </x:c>
      <x:c r="N22" s="76" t="str">
        <x:f>IF(K22&lt;&gt;"OK","",ROUND(E22*F22/12,2))</x:f>
      </x:c>
    </x:row>
    <x:row r="23" ht="21" customHeight="1">
      <x:c r="A23" t="n">
        <x:v>15</x:v>
      </x:c>
      <x:c r="B23" s="44"/>
      <x:c r="C23" s="44"/>
      <x:c r="D23" s="44"/>
      <x:c r="E23" s="50"/>
      <x:c r="F23" s="70"/>
      <x:c r="G23" s="50"/>
      <x:c r="H23" s="44"/>
      <x:c r="I23" s="44"/>
      <x:c r="J23" s="44"/>
      <x:c r="K23" s="72" t="str">
        <x:f>IF(COUNTA(B23:J23)=0,"",IF(OR(B23="",D23="",H23="",NOT(ISNUMBER(E23)),NOT(ISNUMBER(F23)),NOT(ISNUMBER(G23))),"PRÜFEN",IF(OR(E23&lt;0,F23&lt;0,F23&gt;1,G23&lt;0),"PRÜFEN",IF(AND(D23="Bestätigt",H23="Ja",E23&gt;0),"OK","NICHT IM PLAN"))))</x:f>
      </x:c>
      <x:c r="L23" s="74" t="str">
        <x:f>IF(K23&lt;&gt;"OK","",1+COUNTIFS($K$9:$K$28,"OK",$E$9:$E$28,"&lt;"&amp;E23)+COUNTIFS($K$9:$K$28,"OK",$E$9:$E$28,E23,$A$9:$A$28,"&lt;"&amp;A23))</x:f>
      </x:c>
      <x:c r="M23" s="74" t="str">
        <x:f>IF(K23&lt;&gt;"OK","",1+COUNTIFS($K$9:$K$28,"OK",$F$9:$F$28,"&gt;"&amp;F23)+COUNTIFS($K$9:$K$28,"OK",$F$9:$F$28,F23,$A$9:$A$28,"&lt;"&amp;A23))</x:f>
      </x:c>
      <x:c r="N23" s="76" t="str">
        <x:f>IF(K23&lt;&gt;"OK","",ROUND(E23*F23/12,2))</x:f>
      </x:c>
    </x:row>
    <x:row r="24" ht="21" customHeight="1">
      <x:c r="A24" t="n">
        <x:v>16</x:v>
      </x:c>
      <x:c r="B24" s="44"/>
      <x:c r="C24" s="44"/>
      <x:c r="D24" s="44"/>
      <x:c r="E24" s="50"/>
      <x:c r="F24" s="70"/>
      <x:c r="G24" s="50"/>
      <x:c r="H24" s="44"/>
      <x:c r="I24" s="44"/>
      <x:c r="J24" s="44"/>
      <x:c r="K24" s="72" t="str">
        <x:f>IF(COUNTA(B24:J24)=0,"",IF(OR(B24="",D24="",H24="",NOT(ISNUMBER(E24)),NOT(ISNUMBER(F24)),NOT(ISNUMBER(G24))),"PRÜFEN",IF(OR(E24&lt;0,F24&lt;0,F24&gt;1,G24&lt;0),"PRÜFEN",IF(AND(D24="Bestätigt",H24="Ja",E24&gt;0),"OK","NICHT IM PLAN"))))</x:f>
      </x:c>
      <x:c r="L24" s="74" t="str">
        <x:f>IF(K24&lt;&gt;"OK","",1+COUNTIFS($K$9:$K$28,"OK",$E$9:$E$28,"&lt;"&amp;E24)+COUNTIFS($K$9:$K$28,"OK",$E$9:$E$28,E24,$A$9:$A$28,"&lt;"&amp;A24))</x:f>
      </x:c>
      <x:c r="M24" s="74" t="str">
        <x:f>IF(K24&lt;&gt;"OK","",1+COUNTIFS($K$9:$K$28,"OK",$F$9:$F$28,"&gt;"&amp;F24)+COUNTIFS($K$9:$K$28,"OK",$F$9:$F$28,F24,$A$9:$A$28,"&lt;"&amp;A24))</x:f>
      </x:c>
      <x:c r="N24" s="76" t="str">
        <x:f>IF(K24&lt;&gt;"OK","",ROUND(E24*F24/12,2))</x:f>
      </x:c>
    </x:row>
    <x:row r="25" ht="21" customHeight="1">
      <x:c r="A25" t="n">
        <x:v>17</x:v>
      </x:c>
      <x:c r="B25" s="44"/>
      <x:c r="C25" s="44"/>
      <x:c r="D25" s="44"/>
      <x:c r="E25" s="50"/>
      <x:c r="F25" s="70"/>
      <x:c r="G25" s="50"/>
      <x:c r="H25" s="44"/>
      <x:c r="I25" s="44"/>
      <x:c r="J25" s="44"/>
      <x:c r="K25" s="72" t="str">
        <x:f>IF(COUNTA(B25:J25)=0,"",IF(OR(B25="",D25="",H25="",NOT(ISNUMBER(E25)),NOT(ISNUMBER(F25)),NOT(ISNUMBER(G25))),"PRÜFEN",IF(OR(E25&lt;0,F25&lt;0,F25&gt;1,G25&lt;0),"PRÜFEN",IF(AND(D25="Bestätigt",H25="Ja",E25&gt;0),"OK","NICHT IM PLAN"))))</x:f>
      </x:c>
      <x:c r="L25" s="74" t="str">
        <x:f>IF(K25&lt;&gt;"OK","",1+COUNTIFS($K$9:$K$28,"OK",$E$9:$E$28,"&lt;"&amp;E25)+COUNTIFS($K$9:$K$28,"OK",$E$9:$E$28,E25,$A$9:$A$28,"&lt;"&amp;A25))</x:f>
      </x:c>
      <x:c r="M25" s="74" t="str">
        <x:f>IF(K25&lt;&gt;"OK","",1+COUNTIFS($K$9:$K$28,"OK",$F$9:$F$28,"&gt;"&amp;F25)+COUNTIFS($K$9:$K$28,"OK",$F$9:$F$28,F25,$A$9:$A$28,"&lt;"&amp;A25))</x:f>
      </x:c>
      <x:c r="N25" s="76" t="str">
        <x:f>IF(K25&lt;&gt;"OK","",ROUND(E25*F25/12,2))</x:f>
      </x:c>
    </x:row>
    <x:row r="26" ht="21" customHeight="1">
      <x:c r="A26" t="n">
        <x:v>18</x:v>
      </x:c>
      <x:c r="B26" s="44"/>
      <x:c r="C26" s="44"/>
      <x:c r="D26" s="44"/>
      <x:c r="E26" s="50"/>
      <x:c r="F26" s="70"/>
      <x:c r="G26" s="50"/>
      <x:c r="H26" s="44"/>
      <x:c r="I26" s="44"/>
      <x:c r="J26" s="44"/>
      <x:c r="K26" s="72" t="str">
        <x:f>IF(COUNTA(B26:J26)=0,"",IF(OR(B26="",D26="",H26="",NOT(ISNUMBER(E26)),NOT(ISNUMBER(F26)),NOT(ISNUMBER(G26))),"PRÜFEN",IF(OR(E26&lt;0,F26&lt;0,F26&gt;1,G26&lt;0),"PRÜFEN",IF(AND(D26="Bestätigt",H26="Ja",E26&gt;0),"OK","NICHT IM PLAN"))))</x:f>
      </x:c>
      <x:c r="L26" s="74" t="str">
        <x:f>IF(K26&lt;&gt;"OK","",1+COUNTIFS($K$9:$K$28,"OK",$E$9:$E$28,"&lt;"&amp;E26)+COUNTIFS($K$9:$K$28,"OK",$E$9:$E$28,E26,$A$9:$A$28,"&lt;"&amp;A26))</x:f>
      </x:c>
      <x:c r="M26" s="74" t="str">
        <x:f>IF(K26&lt;&gt;"OK","",1+COUNTIFS($K$9:$K$28,"OK",$F$9:$F$28,"&gt;"&amp;F26)+COUNTIFS($K$9:$K$28,"OK",$F$9:$F$28,F26,$A$9:$A$28,"&lt;"&amp;A26))</x:f>
      </x:c>
      <x:c r="N26" s="76" t="str">
        <x:f>IF(K26&lt;&gt;"OK","",ROUND(E26*F26/12,2))</x:f>
      </x:c>
    </x:row>
    <x:row r="27" ht="21" customHeight="1">
      <x:c r="A27" t="n">
        <x:v>19</x:v>
      </x:c>
      <x:c r="B27" s="44"/>
      <x:c r="C27" s="44"/>
      <x:c r="D27" s="44"/>
      <x:c r="E27" s="50"/>
      <x:c r="F27" s="70"/>
      <x:c r="G27" s="50"/>
      <x:c r="H27" s="44"/>
      <x:c r="I27" s="44"/>
      <x:c r="J27" s="44"/>
      <x:c r="K27" s="72" t="str">
        <x:f>IF(COUNTA(B27:J27)=0,"",IF(OR(B27="",D27="",H27="",NOT(ISNUMBER(E27)),NOT(ISNUMBER(F27)),NOT(ISNUMBER(G27))),"PRÜFEN",IF(OR(E27&lt;0,F27&lt;0,F27&gt;1,G27&lt;0),"PRÜFEN",IF(AND(D27="Bestätigt",H27="Ja",E27&gt;0),"OK","NICHT IM PLAN"))))</x:f>
      </x:c>
      <x:c r="L27" s="74" t="str">
        <x:f>IF(K27&lt;&gt;"OK","",1+COUNTIFS($K$9:$K$28,"OK",$E$9:$E$28,"&lt;"&amp;E27)+COUNTIFS($K$9:$K$28,"OK",$E$9:$E$28,E27,$A$9:$A$28,"&lt;"&amp;A27))</x:f>
      </x:c>
      <x:c r="M27" s="74" t="str">
        <x:f>IF(K27&lt;&gt;"OK","",1+COUNTIFS($K$9:$K$28,"OK",$F$9:$F$28,"&gt;"&amp;F27)+COUNTIFS($K$9:$K$28,"OK",$F$9:$F$28,F27,$A$9:$A$28,"&lt;"&amp;A27))</x:f>
      </x:c>
      <x:c r="N27" s="76" t="str">
        <x:f>IF(K27&lt;&gt;"OK","",ROUND(E27*F27/12,2))</x:f>
      </x:c>
    </x:row>
    <x:row r="28" ht="21" customHeight="1">
      <x:c r="A28" t="n">
        <x:v>20</x:v>
      </x:c>
      <x:c r="B28" s="44"/>
      <x:c r="C28" s="44"/>
      <x:c r="D28" s="44"/>
      <x:c r="E28" s="50"/>
      <x:c r="F28" s="70"/>
      <x:c r="G28" s="50"/>
      <x:c r="H28" s="44"/>
      <x:c r="I28" s="44"/>
      <x:c r="J28" s="44"/>
      <x:c r="K28" s="72" t="str">
        <x:f>IF(COUNTA(B28:J28)=0,"",IF(OR(B28="",D28="",H28="",NOT(ISNUMBER(E28)),NOT(ISNUMBER(F28)),NOT(ISNUMBER(G28))),"PRÜFEN",IF(OR(E28&lt;0,F28&lt;0,F28&gt;1,G28&lt;0),"PRÜFEN",IF(AND(D28="Bestätigt",H28="Ja",E28&gt;0),"OK","NICHT IM PLAN"))))</x:f>
      </x:c>
      <x:c r="L28" s="74" t="str">
        <x:f>IF(K28&lt;&gt;"OK","",1+COUNTIFS($K$9:$K$28,"OK",$E$9:$E$28,"&lt;"&amp;E28)+COUNTIFS($K$9:$K$28,"OK",$E$9:$E$28,E28,$A$9:$A$28,"&lt;"&amp;A28))</x:f>
      </x:c>
      <x:c r="M28" s="74" t="str">
        <x:f>IF(K28&lt;&gt;"OK","",1+COUNTIFS($K$9:$K$28,"OK",$F$9:$F$28,"&gt;"&amp;F28)+COUNTIFS($K$9:$K$28,"OK",$F$9:$F$28,F28,$A$9:$A$28,"&lt;"&amp;A28))</x:f>
      </x:c>
      <x:c r="N28" s="76" t="str">
        <x:f>IF(K28&lt;&gt;"OK","",ROUND(E28*F28/12,2))</x:f>
      </x:c>
    </x:row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  <x:row r="36" ht="21" customHeight="1"/>
    <x:row r="37" ht="29" customHeight="1">
      <x:c r="A37" s="16" t="str">
        <x:v>PORTFOLIO-KONTROLLE</x:v>
      </x:c>
      <x:c r="B37" s="16"/>
      <x:c r="C37" s="16"/>
      <x:c r="D37" s="16"/>
      <x:c r="E37" s="16"/>
      <x:c r="F37" s="16"/>
      <x:c r="G37" s="16"/>
      <x:c r="H37" s="16"/>
      <x:c r="I37" s="16"/>
      <x:c r="J37" s="16"/>
      <x:c r="K37" s="16"/>
      <x:c r="L37" s="16"/>
      <x:c r="M37" s="16"/>
      <x:c r="N37" s="16"/>
    </x:row>
    <x:row r="38" ht="21" customHeight="1"/>
    <x:row r="39" ht="28" customHeight="1">
      <x:c r="A39" s="40" t="str">
        <x:v>Einbezogene Forderungen</x:v>
      </x:c>
      <x:c r="B39" s="40"/>
      <x:c r="C39" s="40"/>
      <x:c r="D39" s="40"/>
      <x:c r="E39" s="40"/>
      <x:c r="F39" s="74" t="n">
        <x:f>COUNTIF(K9:K28,"OK")</x:f>
        <x:v>0</x:v>
      </x:c>
    </x:row>
    <x:row r="40" ht="21" customHeight="1"/>
    <x:row r="41" ht="28" customHeight="1">
      <x:c r="A41" s="40" t="str">
        <x:v>Einbezogener Anfangssaldo</x:v>
      </x:c>
      <x:c r="B41" s="40"/>
      <x:c r="C41" s="40"/>
      <x:c r="D41" s="40"/>
      <x:c r="E41" s="40"/>
      <x:c r="F41" s="76" t="n">
        <x:f>SUMIF(K9:K28,"OK",E9:E28)</x:f>
        <x:v>0</x:v>
      </x:c>
    </x:row>
    <x:row r="42" ht="21" customHeight="1"/>
    <x:row r="43" ht="28" customHeight="1">
      <x:c r="A43" s="40" t="str">
        <x:v>Ungeprüfte / bestrittene Einträge</x:v>
      </x:c>
      <x:c r="B43" s="40"/>
      <x:c r="C43" s="40"/>
      <x:c r="D43" s="40"/>
      <x:c r="E43" s="40"/>
      <x:c r="F43" s="74" t="n">
        <x:f>COUNTIF(D9:D28,"Ungeprüft")+COUNTIF(D9:D28,"Bestritten")</x:f>
        <x:v>0</x:v>
      </x:c>
    </x:row>
    <x:row r="44" ht="21" customHeight="1"/>
    <x:row r="45" ht="28" customHeight="1">
      <x:c r="A45" s="40" t="str">
        <x:v>Unvollständige Einträge</x:v>
      </x:c>
      <x:c r="B45" s="40"/>
      <x:c r="C45" s="40"/>
      <x:c r="D45" s="40"/>
      <x:c r="E45" s="40"/>
      <x:c r="F45" s="74" t="n">
        <x:f>COUNTIF(K9:K28,"PRÜFEN")</x:f>
        <x:v>0</x:v>
      </x:c>
    </x:row>
    <x:row r="46" ht="21" customHeight="1"/>
    <x:row r="47" ht="28" customHeight="1">
      <x:c r="A47" s="40" t="str">
        <x:v>Summe vereinbarter Anfangsraten</x:v>
      </x:c>
      <x:c r="B47" s="40"/>
      <x:c r="C47" s="40"/>
      <x:c r="D47" s="40"/>
      <x:c r="E47" s="40"/>
      <x:c r="F47" s="76" t="n">
        <x:f>SUMIF(K9:K28,"OK",G9:G28)</x:f>
        <x:v>0</x:v>
      </x:c>
    </x:row>
    <x:row r="48" ht="21" customHeight="1"/>
    <x:row r="49" ht="21" customHeight="1"/>
    <x:row r="50" ht="38" customHeight="1">
      <x:c r="A50" s="37" t="str">
        <x:v>Achtung: Eine niedrige Rate kann unter den monatlichen Zinsen liegen. Der Plan weist dann unter Umständen steigende Schulden aus. Zinssatz als 12,5 % eingeben, nicht als 12,5.</x:v>
      </x:c>
      <x:c r="B50" s="37"/>
      <x:c r="C50" s="37"/>
      <x:c r="D50" s="37"/>
      <x:c r="E50" s="37"/>
      <x:c r="F50" s="37"/>
      <x:c r="G50" s="37"/>
      <x:c r="H50" s="37"/>
      <x:c r="I50" s="37"/>
      <x:c r="J50" s="37"/>
      <x:c r="K50" s="37"/>
      <x:c r="L50" s="37"/>
      <x:c r="M50" s="37"/>
      <x:c r="N50" s="37"/>
    </x:row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</x:sheetData>
  <x:mergeCells>
    <x:mergeCell ref="A1:N2"/>
    <x:mergeCell ref="A3:N3"/>
    <x:mergeCell ref="A5:N5"/>
    <x:mergeCell ref="A37:N37"/>
    <x:mergeCell ref="A39:E39"/>
    <x:mergeCell ref="A41:E41"/>
    <x:mergeCell ref="A43:E43"/>
    <x:mergeCell ref="A45:E45"/>
    <x:mergeCell ref="A47:E47"/>
    <x:mergeCell ref="A50:N50"/>
  </x:mergeCells>
  <x:conditionalFormatting sqref="K9:K28">
    <x:cfRule type="expression" dxfId="1" priority="1">
      <x:formula>K9="PRÜFEN"</x:formula>
    </x:cfRule>
    <x:cfRule type="expression" dxfId="2" priority="2">
      <x:formula>K9="NICHT IM PLAN"</x:formula>
    </x:cfRule>
  </x:conditionalFormatting>
  <x:conditionalFormatting sqref="G9:G28">
    <x:cfRule type="expression" dxfId="3" priority="3">
      <x:formula>AND($K9="OK",G9&lt;N9)</x:formula>
    </x:cfRule>
  </x:conditionalFormatting>
  <x:dataValidations count="4">
    <x:dataValidation type="list" sqref="C9:C28">
      <x:formula1>"Ratenkredit,Kreditkarte,Dispo,Inkasso,Miete,Energie,Steuern,Privat,Sonstige"</x:formula1>
    </x:dataValidation>
    <x:dataValidation type="list" sqref="D9:D28">
      <x:formula1>"Bestätigt,Ungeprüft,Bestritten"</x:formula1>
    </x:dataValidation>
    <x:dataValidation type="list" sqref="H9:H28">
      <x:formula1>"Ja,Nein"</x:formula1>
    </x:dataValidation>
    <x:dataValidation type="list" sqref="I9:I28">
      <x:formula1>"Regulär,Vereinbart,Pausiert,In Klärung"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5" hidden="0" customWidth="1"/>
    <x:col min="3" max="3" width="19" hidden="0" customWidth="1"/>
    <x:col min="4" max="4" width="32" hidden="0" customWidth="1"/>
    <x:col min="5" max="5" width="21" hidden="0" customWidth="1"/>
    <x:col min="6" max="6" width="20" hidden="0" customWidth="1"/>
    <x:col min="7" max="7" width="30" hidden="0" customWidth="1"/>
    <x:col min="8" max="8" width="21" hidden="0" customWidth="1"/>
    <x:col min="9" max="9" width="46" hidden="0" customWidth="1"/>
  </x:cols>
  <x:sheetData>
    <x:row r="1" ht="29" customHeight="1">
      <x:c r="A1" s="4" t="str">
        <x:v>NURGELD.DE  /  SONDERZAHLUNGEN</x:v>
      </x:c>
      <x:c r="B1" s="4"/>
      <x:c r="C1" s="4"/>
      <x:c r="D1" s="4"/>
      <x:c r="E1" s="4"/>
      <x:c r="F1" s="4"/>
      <x:c r="G1" s="4"/>
      <x:c r="H1" s="4"/>
      <x:c r="I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8" customHeight="1">
      <x:c r="A3" s="10" t="str">
        <x:v>120 OPTIONALE EXTRA-ZAHLUNGEN  ·  Ausschließlich zusätzlich zum monatlichen Tilgungsbudget</x:v>
      </x:c>
      <x:c r="B3" s="10"/>
      <x:c r="C3" s="10"/>
      <x:c r="D3" s="10"/>
      <x:c r="E3" s="10"/>
      <x:c r="F3" s="10"/>
      <x:c r="G3" s="10"/>
      <x:c r="H3" s="10"/>
      <x:c r="I3" s="10"/>
    </x:row>
    <x:row r="4" ht="21" customHeight="1"/>
    <x:row r="5" ht="42" customHeight="1">
      <x:c r="A5" s="37" t="str">
        <x:v>Zahlungstag und Gläubiger-ID angeben. „Ja“ nur bei tatsächlich zusätzlich verfügbaren Mitteln. Überzahlungen landen im Detailplan in „Nicht nutzbar“, nicht in der Tilgung.</x:v>
      </x:c>
      <x:c r="B5" s="37"/>
      <x:c r="C5" s="37"/>
      <x:c r="D5" s="37"/>
      <x:c r="E5" s="37"/>
      <x:c r="F5" s="37"/>
      <x:c r="G5" s="37"/>
      <x:c r="H5" s="37"/>
      <x:c r="I5" s="37"/>
    </x:row>
    <x:row r="6" ht="21" customHeight="1"/>
    <x:row r="7" ht="21" customHeight="1"/>
    <x:row r="8" ht="41" customHeight="1">
      <x:c r="A8" s="66" t="str">
        <x:v>Geplantes Datum</x:v>
      </x:c>
      <x:c r="B8" s="66" t="str">
        <x:v>Gläubiger-ID</x:v>
      </x:c>
      <x:c r="C8" s="66" t="str">
        <x:v>Monat (auto)</x:v>
      </x:c>
      <x:c r="D8" s="66" t="str">
        <x:v>Zweck / Herkunft</x:v>
      </x:c>
      <x:c r="E8" s="66" t="str">
        <x:v>Betrag (€)</x:v>
      </x:c>
      <x:c r="F8" s="66" t="str">
        <x:v>Berücksichtigen?</x:v>
      </x:c>
      <x:c r="G8" s="66" t="str">
        <x:v>Gläubiger (auto)</x:v>
      </x:c>
      <x:c r="H8" s="66" t="str">
        <x:v>Datencheck</x:v>
      </x:c>
      <x:c r="I8" s="66" t="str">
        <x:v>Persönliche Notiz</x:v>
      </x:c>
    </x:row>
    <x:row r="9" ht="21" customHeight="1">
      <x:c r="A9" s="78"/>
      <x:c r="B9" s="44"/>
      <x:c r="C9" s="80" t="str">
        <x:f>IF(ISNUMBER(A9),DATE(YEAR(A9),MONTH(A9),1),"")</x:f>
      </x:c>
      <x:c r="D9" s="44"/>
      <x:c r="E9" s="50"/>
      <x:c r="F9" s="44"/>
      <x:c r="G9" s="72" t="str">
        <x:f>IF(OR(B9="",NOT(ISNUMBER(B9))),"",IFERROR(INDEX(FORDERUNGEN!$B$9:$B$28,MATCH(B9,FORDERUNGEN!$A$9:$A$28,0)),""))</x:f>
      </x:c>
      <x:c r="H9" s="72" t="str">
        <x:f>IF(COUNTA(A9:B9,D9:F9)=0,"",IF(OR(NOT(ISNUMBER(A9)),NOT(ISNUMBER(B9)),NOT(ISNUMBER(E9)),E9&lt;=0,F9="",G9=""),"PRÜFEN",IF(IFERROR(INDEX(FORDERUNGEN!$K$9:$K$28,MATCH(B9,FORDERUNGEN!$A$9:$A$28,0)),"")&lt;&gt;"OK","FORDERUNG NICHT IM PLAN",IF(OR(C9&lt;STEUERUNG!$B$7,C9&gt;EDATE(STEUERUNG!$B$7,71)),"AUSSERHALB HORIZONT","OK"))))</x:f>
      </x:c>
      <x:c r="I9" s="44"/>
    </x:row>
    <x:row r="10" ht="21" customHeight="1">
      <x:c r="A10" s="78"/>
      <x:c r="B10" s="44"/>
      <x:c r="C10" s="80" t="str">
        <x:f>IF(ISNUMBER(A10),DATE(YEAR(A10),MONTH(A10),1),"")</x:f>
      </x:c>
      <x:c r="D10" s="44"/>
      <x:c r="E10" s="50"/>
      <x:c r="F10" s="44"/>
      <x:c r="G10" s="72" t="str">
        <x:f>IF(OR(B10="",NOT(ISNUMBER(B10))),"",IFERROR(INDEX(FORDERUNGEN!$B$9:$B$28,MATCH(B10,FORDERUNGEN!$A$9:$A$28,0)),""))</x:f>
      </x:c>
      <x:c r="H10" s="72" t="str">
        <x:f>IF(COUNTA(A10:B10,D10:F10)=0,"",IF(OR(NOT(ISNUMBER(A10)),NOT(ISNUMBER(B10)),NOT(ISNUMBER(E10)),E10&lt;=0,F10="",G10=""),"PRÜFEN",IF(IFERROR(INDEX(FORDERUNGEN!$K$9:$K$28,MATCH(B10,FORDERUNGEN!$A$9:$A$28,0)),"")&lt;&gt;"OK","FORDERUNG NICHT IM PLAN",IF(OR(C10&lt;STEUERUNG!$B$7,C10&gt;EDATE(STEUERUNG!$B$7,71)),"AUSSERHALB HORIZONT","OK"))))</x:f>
      </x:c>
      <x:c r="I10" s="44"/>
    </x:row>
    <x:row r="11" ht="21" customHeight="1">
      <x:c r="A11" s="78"/>
      <x:c r="B11" s="44"/>
      <x:c r="C11" s="80" t="str">
        <x:f>IF(ISNUMBER(A11),DATE(YEAR(A11),MONTH(A11),1),"")</x:f>
      </x:c>
      <x:c r="D11" s="44"/>
      <x:c r="E11" s="50"/>
      <x:c r="F11" s="44"/>
      <x:c r="G11" s="72" t="str">
        <x:f>IF(OR(B11="",NOT(ISNUMBER(B11))),"",IFERROR(INDEX(FORDERUNGEN!$B$9:$B$28,MATCH(B11,FORDERUNGEN!$A$9:$A$28,0)),""))</x:f>
      </x:c>
      <x:c r="H11" s="72" t="str">
        <x:f>IF(COUNTA(A11:B11,D11:F11)=0,"",IF(OR(NOT(ISNUMBER(A11)),NOT(ISNUMBER(B11)),NOT(ISNUMBER(E11)),E11&lt;=0,F11="",G11=""),"PRÜFEN",IF(IFERROR(INDEX(FORDERUNGEN!$K$9:$K$28,MATCH(B11,FORDERUNGEN!$A$9:$A$28,0)),"")&lt;&gt;"OK","FORDERUNG NICHT IM PLAN",IF(OR(C11&lt;STEUERUNG!$B$7,C11&gt;EDATE(STEUERUNG!$B$7,71)),"AUSSERHALB HORIZONT","OK"))))</x:f>
      </x:c>
      <x:c r="I11" s="44"/>
    </x:row>
    <x:row r="12" ht="21" customHeight="1">
      <x:c r="A12" s="78"/>
      <x:c r="B12" s="44"/>
      <x:c r="C12" s="80" t="str">
        <x:f>IF(ISNUMBER(A12),DATE(YEAR(A12),MONTH(A12),1),"")</x:f>
      </x:c>
      <x:c r="D12" s="44"/>
      <x:c r="E12" s="50"/>
      <x:c r="F12" s="44"/>
      <x:c r="G12" s="72" t="str">
        <x:f>IF(OR(B12="",NOT(ISNUMBER(B12))),"",IFERROR(INDEX(FORDERUNGEN!$B$9:$B$28,MATCH(B12,FORDERUNGEN!$A$9:$A$28,0)),""))</x:f>
      </x:c>
      <x:c r="H12" s="72" t="str">
        <x:f>IF(COUNTA(A12:B12,D12:F12)=0,"",IF(OR(NOT(ISNUMBER(A12)),NOT(ISNUMBER(B12)),NOT(ISNUMBER(E12)),E12&lt;=0,F12="",G12=""),"PRÜFEN",IF(IFERROR(INDEX(FORDERUNGEN!$K$9:$K$28,MATCH(B12,FORDERUNGEN!$A$9:$A$28,0)),"")&lt;&gt;"OK","FORDERUNG NICHT IM PLAN",IF(OR(C12&lt;STEUERUNG!$B$7,C12&gt;EDATE(STEUERUNG!$B$7,71)),"AUSSERHALB HORIZONT","OK"))))</x:f>
      </x:c>
      <x:c r="I12" s="44"/>
    </x:row>
    <x:row r="13" ht="21" customHeight="1">
      <x:c r="A13" s="78"/>
      <x:c r="B13" s="44"/>
      <x:c r="C13" s="80" t="str">
        <x:f>IF(ISNUMBER(A13),DATE(YEAR(A13),MONTH(A13),1),"")</x:f>
      </x:c>
      <x:c r="D13" s="44"/>
      <x:c r="E13" s="50"/>
      <x:c r="F13" s="44"/>
      <x:c r="G13" s="72" t="str">
        <x:f>IF(OR(B13="",NOT(ISNUMBER(B13))),"",IFERROR(INDEX(FORDERUNGEN!$B$9:$B$28,MATCH(B13,FORDERUNGEN!$A$9:$A$28,0)),""))</x:f>
      </x:c>
      <x:c r="H13" s="72" t="str">
        <x:f>IF(COUNTA(A13:B13,D13:F13)=0,"",IF(OR(NOT(ISNUMBER(A13)),NOT(ISNUMBER(B13)),NOT(ISNUMBER(E13)),E13&lt;=0,F13="",G13=""),"PRÜFEN",IF(IFERROR(INDEX(FORDERUNGEN!$K$9:$K$28,MATCH(B13,FORDERUNGEN!$A$9:$A$28,0)),"")&lt;&gt;"OK","FORDERUNG NICHT IM PLAN",IF(OR(C13&lt;STEUERUNG!$B$7,C13&gt;EDATE(STEUERUNG!$B$7,71)),"AUSSERHALB HORIZONT","OK"))))</x:f>
      </x:c>
      <x:c r="I13" s="44"/>
    </x:row>
    <x:row r="14" ht="21" customHeight="1">
      <x:c r="A14" s="78"/>
      <x:c r="B14" s="44"/>
      <x:c r="C14" s="80" t="str">
        <x:f>IF(ISNUMBER(A14),DATE(YEAR(A14),MONTH(A14),1),"")</x:f>
      </x:c>
      <x:c r="D14" s="44"/>
      <x:c r="E14" s="50"/>
      <x:c r="F14" s="44"/>
      <x:c r="G14" s="72" t="str">
        <x:f>IF(OR(B14="",NOT(ISNUMBER(B14))),"",IFERROR(INDEX(FORDERUNGEN!$B$9:$B$28,MATCH(B14,FORDERUNGEN!$A$9:$A$28,0)),""))</x:f>
      </x:c>
      <x:c r="H14" s="72" t="str">
        <x:f>IF(COUNTA(A14:B14,D14:F14)=0,"",IF(OR(NOT(ISNUMBER(A14)),NOT(ISNUMBER(B14)),NOT(ISNUMBER(E14)),E14&lt;=0,F14="",G14=""),"PRÜFEN",IF(IFERROR(INDEX(FORDERUNGEN!$K$9:$K$28,MATCH(B14,FORDERUNGEN!$A$9:$A$28,0)),"")&lt;&gt;"OK","FORDERUNG NICHT IM PLAN",IF(OR(C14&lt;STEUERUNG!$B$7,C14&gt;EDATE(STEUERUNG!$B$7,71)),"AUSSERHALB HORIZONT","OK"))))</x:f>
      </x:c>
      <x:c r="I14" s="44"/>
    </x:row>
    <x:row r="15" ht="21" customHeight="1">
      <x:c r="A15" s="78"/>
      <x:c r="B15" s="44"/>
      <x:c r="C15" s="80" t="str">
        <x:f>IF(ISNUMBER(A15),DATE(YEAR(A15),MONTH(A15),1),"")</x:f>
      </x:c>
      <x:c r="D15" s="44"/>
      <x:c r="E15" s="50"/>
      <x:c r="F15" s="44"/>
      <x:c r="G15" s="72" t="str">
        <x:f>IF(OR(B15="",NOT(ISNUMBER(B15))),"",IFERROR(INDEX(FORDERUNGEN!$B$9:$B$28,MATCH(B15,FORDERUNGEN!$A$9:$A$28,0)),""))</x:f>
      </x:c>
      <x:c r="H15" s="72" t="str">
        <x:f>IF(COUNTA(A15:B15,D15:F15)=0,"",IF(OR(NOT(ISNUMBER(A15)),NOT(ISNUMBER(B15)),NOT(ISNUMBER(E15)),E15&lt;=0,F15="",G15=""),"PRÜFEN",IF(IFERROR(INDEX(FORDERUNGEN!$K$9:$K$28,MATCH(B15,FORDERUNGEN!$A$9:$A$28,0)),"")&lt;&gt;"OK","FORDERUNG NICHT IM PLAN",IF(OR(C15&lt;STEUERUNG!$B$7,C15&gt;EDATE(STEUERUNG!$B$7,71)),"AUSSERHALB HORIZONT","OK"))))</x:f>
      </x:c>
      <x:c r="I15" s="44"/>
    </x:row>
    <x:row r="16" ht="21" customHeight="1">
      <x:c r="A16" s="78"/>
      <x:c r="B16" s="44"/>
      <x:c r="C16" s="80" t="str">
        <x:f>IF(ISNUMBER(A16),DATE(YEAR(A16),MONTH(A16),1),"")</x:f>
      </x:c>
      <x:c r="D16" s="44"/>
      <x:c r="E16" s="50"/>
      <x:c r="F16" s="44"/>
      <x:c r="G16" s="72" t="str">
        <x:f>IF(OR(B16="",NOT(ISNUMBER(B16))),"",IFERROR(INDEX(FORDERUNGEN!$B$9:$B$28,MATCH(B16,FORDERUNGEN!$A$9:$A$28,0)),""))</x:f>
      </x:c>
      <x:c r="H16" s="72" t="str">
        <x:f>IF(COUNTA(A16:B16,D16:F16)=0,"",IF(OR(NOT(ISNUMBER(A16)),NOT(ISNUMBER(B16)),NOT(ISNUMBER(E16)),E16&lt;=0,F16="",G16=""),"PRÜFEN",IF(IFERROR(INDEX(FORDERUNGEN!$K$9:$K$28,MATCH(B16,FORDERUNGEN!$A$9:$A$28,0)),"")&lt;&gt;"OK","FORDERUNG NICHT IM PLAN",IF(OR(C16&lt;STEUERUNG!$B$7,C16&gt;EDATE(STEUERUNG!$B$7,71)),"AUSSERHALB HORIZONT","OK"))))</x:f>
      </x:c>
      <x:c r="I16" s="44"/>
    </x:row>
    <x:row r="17" ht="21" customHeight="1">
      <x:c r="A17" s="78"/>
      <x:c r="B17" s="44"/>
      <x:c r="C17" s="80" t="str">
        <x:f>IF(ISNUMBER(A17),DATE(YEAR(A17),MONTH(A17),1),"")</x:f>
      </x:c>
      <x:c r="D17" s="44"/>
      <x:c r="E17" s="50"/>
      <x:c r="F17" s="44"/>
      <x:c r="G17" s="72" t="str">
        <x:f>IF(OR(B17="",NOT(ISNUMBER(B17))),"",IFERROR(INDEX(FORDERUNGEN!$B$9:$B$28,MATCH(B17,FORDERUNGEN!$A$9:$A$28,0)),""))</x:f>
      </x:c>
      <x:c r="H17" s="72" t="str">
        <x:f>IF(COUNTA(A17:B17,D17:F17)=0,"",IF(OR(NOT(ISNUMBER(A17)),NOT(ISNUMBER(B17)),NOT(ISNUMBER(E17)),E17&lt;=0,F17="",G17=""),"PRÜFEN",IF(IFERROR(INDEX(FORDERUNGEN!$K$9:$K$28,MATCH(B17,FORDERUNGEN!$A$9:$A$28,0)),"")&lt;&gt;"OK","FORDERUNG NICHT IM PLAN",IF(OR(C17&lt;STEUERUNG!$B$7,C17&gt;EDATE(STEUERUNG!$B$7,71)),"AUSSERHALB HORIZONT","OK"))))</x:f>
      </x:c>
      <x:c r="I17" s="44"/>
    </x:row>
    <x:row r="18" ht="21" customHeight="1">
      <x:c r="A18" s="78"/>
      <x:c r="B18" s="44"/>
      <x:c r="C18" s="80" t="str">
        <x:f>IF(ISNUMBER(A18),DATE(YEAR(A18),MONTH(A18),1),"")</x:f>
      </x:c>
      <x:c r="D18" s="44"/>
      <x:c r="E18" s="50"/>
      <x:c r="F18" s="44"/>
      <x:c r="G18" s="72" t="str">
        <x:f>IF(OR(B18="",NOT(ISNUMBER(B18))),"",IFERROR(INDEX(FORDERUNGEN!$B$9:$B$28,MATCH(B18,FORDERUNGEN!$A$9:$A$28,0)),""))</x:f>
      </x:c>
      <x:c r="H18" s="72" t="str">
        <x:f>IF(COUNTA(A18:B18,D18:F18)=0,"",IF(OR(NOT(ISNUMBER(A18)),NOT(ISNUMBER(B18)),NOT(ISNUMBER(E18)),E18&lt;=0,F18="",G18=""),"PRÜFEN",IF(IFERROR(INDEX(FORDERUNGEN!$K$9:$K$28,MATCH(B18,FORDERUNGEN!$A$9:$A$28,0)),"")&lt;&gt;"OK","FORDERUNG NICHT IM PLAN",IF(OR(C18&lt;STEUERUNG!$B$7,C18&gt;EDATE(STEUERUNG!$B$7,71)),"AUSSERHALB HORIZONT","OK"))))</x:f>
      </x:c>
      <x:c r="I18" s="44"/>
    </x:row>
    <x:row r="19" ht="21" customHeight="1">
      <x:c r="A19" s="78"/>
      <x:c r="B19" s="44"/>
      <x:c r="C19" s="80" t="str">
        <x:f>IF(ISNUMBER(A19),DATE(YEAR(A19),MONTH(A19),1),"")</x:f>
      </x:c>
      <x:c r="D19" s="44"/>
      <x:c r="E19" s="50"/>
      <x:c r="F19" s="44"/>
      <x:c r="G19" s="72" t="str">
        <x:f>IF(OR(B19="",NOT(ISNUMBER(B19))),"",IFERROR(INDEX(FORDERUNGEN!$B$9:$B$28,MATCH(B19,FORDERUNGEN!$A$9:$A$28,0)),""))</x:f>
      </x:c>
      <x:c r="H19" s="72" t="str">
        <x:f>IF(COUNTA(A19:B19,D19:F19)=0,"",IF(OR(NOT(ISNUMBER(A19)),NOT(ISNUMBER(B19)),NOT(ISNUMBER(E19)),E19&lt;=0,F19="",G19=""),"PRÜFEN",IF(IFERROR(INDEX(FORDERUNGEN!$K$9:$K$28,MATCH(B19,FORDERUNGEN!$A$9:$A$28,0)),"")&lt;&gt;"OK","FORDERUNG NICHT IM PLAN",IF(OR(C19&lt;STEUERUNG!$B$7,C19&gt;EDATE(STEUERUNG!$B$7,71)),"AUSSERHALB HORIZONT","OK"))))</x:f>
      </x:c>
      <x:c r="I19" s="44"/>
    </x:row>
    <x:row r="20" ht="21" customHeight="1">
      <x:c r="A20" s="78"/>
      <x:c r="B20" s="44"/>
      <x:c r="C20" s="80" t="str">
        <x:f>IF(ISNUMBER(A20),DATE(YEAR(A20),MONTH(A20),1),"")</x:f>
      </x:c>
      <x:c r="D20" s="44"/>
      <x:c r="E20" s="50"/>
      <x:c r="F20" s="44"/>
      <x:c r="G20" s="72" t="str">
        <x:f>IF(OR(B20="",NOT(ISNUMBER(B20))),"",IFERROR(INDEX(FORDERUNGEN!$B$9:$B$28,MATCH(B20,FORDERUNGEN!$A$9:$A$28,0)),""))</x:f>
      </x:c>
      <x:c r="H20" s="72" t="str">
        <x:f>IF(COUNTA(A20:B20,D20:F20)=0,"",IF(OR(NOT(ISNUMBER(A20)),NOT(ISNUMBER(B20)),NOT(ISNUMBER(E20)),E20&lt;=0,F20="",G20=""),"PRÜFEN",IF(IFERROR(INDEX(FORDERUNGEN!$K$9:$K$28,MATCH(B20,FORDERUNGEN!$A$9:$A$28,0)),"")&lt;&gt;"OK","FORDERUNG NICHT IM PLAN",IF(OR(C20&lt;STEUERUNG!$B$7,C20&gt;EDATE(STEUERUNG!$B$7,71)),"AUSSERHALB HORIZONT","OK"))))</x:f>
      </x:c>
      <x:c r="I20" s="44"/>
    </x:row>
    <x:row r="21" ht="21" customHeight="1">
      <x:c r="A21" s="78"/>
      <x:c r="B21" s="44"/>
      <x:c r="C21" s="80" t="str">
        <x:f>IF(ISNUMBER(A21),DATE(YEAR(A21),MONTH(A21),1),"")</x:f>
      </x:c>
      <x:c r="D21" s="44"/>
      <x:c r="E21" s="50"/>
      <x:c r="F21" s="44"/>
      <x:c r="G21" s="72" t="str">
        <x:f>IF(OR(B21="",NOT(ISNUMBER(B21))),"",IFERROR(INDEX(FORDERUNGEN!$B$9:$B$28,MATCH(B21,FORDERUNGEN!$A$9:$A$28,0)),""))</x:f>
      </x:c>
      <x:c r="H21" s="72" t="str">
        <x:f>IF(COUNTA(A21:B21,D21:F21)=0,"",IF(OR(NOT(ISNUMBER(A21)),NOT(ISNUMBER(B21)),NOT(ISNUMBER(E21)),E21&lt;=0,F21="",G21=""),"PRÜFEN",IF(IFERROR(INDEX(FORDERUNGEN!$K$9:$K$28,MATCH(B21,FORDERUNGEN!$A$9:$A$28,0)),"")&lt;&gt;"OK","FORDERUNG NICHT IM PLAN",IF(OR(C21&lt;STEUERUNG!$B$7,C21&gt;EDATE(STEUERUNG!$B$7,71)),"AUSSERHALB HORIZONT","OK"))))</x:f>
      </x:c>
      <x:c r="I21" s="44"/>
    </x:row>
    <x:row r="22" ht="21" customHeight="1">
      <x:c r="A22" s="78"/>
      <x:c r="B22" s="44"/>
      <x:c r="C22" s="80" t="str">
        <x:f>IF(ISNUMBER(A22),DATE(YEAR(A22),MONTH(A22),1),"")</x:f>
      </x:c>
      <x:c r="D22" s="44"/>
      <x:c r="E22" s="50"/>
      <x:c r="F22" s="44"/>
      <x:c r="G22" s="72" t="str">
        <x:f>IF(OR(B22="",NOT(ISNUMBER(B22))),"",IFERROR(INDEX(FORDERUNGEN!$B$9:$B$28,MATCH(B22,FORDERUNGEN!$A$9:$A$28,0)),""))</x:f>
      </x:c>
      <x:c r="H22" s="72" t="str">
        <x:f>IF(COUNTA(A22:B22,D22:F22)=0,"",IF(OR(NOT(ISNUMBER(A22)),NOT(ISNUMBER(B22)),NOT(ISNUMBER(E22)),E22&lt;=0,F22="",G22=""),"PRÜFEN",IF(IFERROR(INDEX(FORDERUNGEN!$K$9:$K$28,MATCH(B22,FORDERUNGEN!$A$9:$A$28,0)),"")&lt;&gt;"OK","FORDERUNG NICHT IM PLAN",IF(OR(C22&lt;STEUERUNG!$B$7,C22&gt;EDATE(STEUERUNG!$B$7,71)),"AUSSERHALB HORIZONT","OK"))))</x:f>
      </x:c>
      <x:c r="I22" s="44"/>
    </x:row>
    <x:row r="23" ht="21" customHeight="1">
      <x:c r="A23" s="78"/>
      <x:c r="B23" s="44"/>
      <x:c r="C23" s="80" t="str">
        <x:f>IF(ISNUMBER(A23),DATE(YEAR(A23),MONTH(A23),1),"")</x:f>
      </x:c>
      <x:c r="D23" s="44"/>
      <x:c r="E23" s="50"/>
      <x:c r="F23" s="44"/>
      <x:c r="G23" s="72" t="str">
        <x:f>IF(OR(B23="",NOT(ISNUMBER(B23))),"",IFERROR(INDEX(FORDERUNGEN!$B$9:$B$28,MATCH(B23,FORDERUNGEN!$A$9:$A$28,0)),""))</x:f>
      </x:c>
      <x:c r="H23" s="72" t="str">
        <x:f>IF(COUNTA(A23:B23,D23:F23)=0,"",IF(OR(NOT(ISNUMBER(A23)),NOT(ISNUMBER(B23)),NOT(ISNUMBER(E23)),E23&lt;=0,F23="",G23=""),"PRÜFEN",IF(IFERROR(INDEX(FORDERUNGEN!$K$9:$K$28,MATCH(B23,FORDERUNGEN!$A$9:$A$28,0)),"")&lt;&gt;"OK","FORDERUNG NICHT IM PLAN",IF(OR(C23&lt;STEUERUNG!$B$7,C23&gt;EDATE(STEUERUNG!$B$7,71)),"AUSSERHALB HORIZONT","OK"))))</x:f>
      </x:c>
      <x:c r="I23" s="44"/>
    </x:row>
    <x:row r="24" ht="21" customHeight="1">
      <x:c r="A24" s="78"/>
      <x:c r="B24" s="44"/>
      <x:c r="C24" s="80" t="str">
        <x:f>IF(ISNUMBER(A24),DATE(YEAR(A24),MONTH(A24),1),"")</x:f>
      </x:c>
      <x:c r="D24" s="44"/>
      <x:c r="E24" s="50"/>
      <x:c r="F24" s="44"/>
      <x:c r="G24" s="72" t="str">
        <x:f>IF(OR(B24="",NOT(ISNUMBER(B24))),"",IFERROR(INDEX(FORDERUNGEN!$B$9:$B$28,MATCH(B24,FORDERUNGEN!$A$9:$A$28,0)),""))</x:f>
      </x:c>
      <x:c r="H24" s="72" t="str">
        <x:f>IF(COUNTA(A24:B24,D24:F24)=0,"",IF(OR(NOT(ISNUMBER(A24)),NOT(ISNUMBER(B24)),NOT(ISNUMBER(E24)),E24&lt;=0,F24="",G24=""),"PRÜFEN",IF(IFERROR(INDEX(FORDERUNGEN!$K$9:$K$28,MATCH(B24,FORDERUNGEN!$A$9:$A$28,0)),"")&lt;&gt;"OK","FORDERUNG NICHT IM PLAN",IF(OR(C24&lt;STEUERUNG!$B$7,C24&gt;EDATE(STEUERUNG!$B$7,71)),"AUSSERHALB HORIZONT","OK"))))</x:f>
      </x:c>
      <x:c r="I24" s="44"/>
    </x:row>
    <x:row r="25" ht="21" customHeight="1">
      <x:c r="A25" s="78"/>
      <x:c r="B25" s="44"/>
      <x:c r="C25" s="80" t="str">
        <x:f>IF(ISNUMBER(A25),DATE(YEAR(A25),MONTH(A25),1),"")</x:f>
      </x:c>
      <x:c r="D25" s="44"/>
      <x:c r="E25" s="50"/>
      <x:c r="F25" s="44"/>
      <x:c r="G25" s="72" t="str">
        <x:f>IF(OR(B25="",NOT(ISNUMBER(B25))),"",IFERROR(INDEX(FORDERUNGEN!$B$9:$B$28,MATCH(B25,FORDERUNGEN!$A$9:$A$28,0)),""))</x:f>
      </x:c>
      <x:c r="H25" s="72" t="str">
        <x:f>IF(COUNTA(A25:B25,D25:F25)=0,"",IF(OR(NOT(ISNUMBER(A25)),NOT(ISNUMBER(B25)),NOT(ISNUMBER(E25)),E25&lt;=0,F25="",G25=""),"PRÜFEN",IF(IFERROR(INDEX(FORDERUNGEN!$K$9:$K$28,MATCH(B25,FORDERUNGEN!$A$9:$A$28,0)),"")&lt;&gt;"OK","FORDERUNG NICHT IM PLAN",IF(OR(C25&lt;STEUERUNG!$B$7,C25&gt;EDATE(STEUERUNG!$B$7,71)),"AUSSERHALB HORIZONT","OK"))))</x:f>
      </x:c>
      <x:c r="I25" s="44"/>
    </x:row>
    <x:row r="26" ht="21" customHeight="1">
      <x:c r="A26" s="78"/>
      <x:c r="B26" s="44"/>
      <x:c r="C26" s="80" t="str">
        <x:f>IF(ISNUMBER(A26),DATE(YEAR(A26),MONTH(A26),1),"")</x:f>
      </x:c>
      <x:c r="D26" s="44"/>
      <x:c r="E26" s="50"/>
      <x:c r="F26" s="44"/>
      <x:c r="G26" s="72" t="str">
        <x:f>IF(OR(B26="",NOT(ISNUMBER(B26))),"",IFERROR(INDEX(FORDERUNGEN!$B$9:$B$28,MATCH(B26,FORDERUNGEN!$A$9:$A$28,0)),""))</x:f>
      </x:c>
      <x:c r="H26" s="72" t="str">
        <x:f>IF(COUNTA(A26:B26,D26:F26)=0,"",IF(OR(NOT(ISNUMBER(A26)),NOT(ISNUMBER(B26)),NOT(ISNUMBER(E26)),E26&lt;=0,F26="",G26=""),"PRÜFEN",IF(IFERROR(INDEX(FORDERUNGEN!$K$9:$K$28,MATCH(B26,FORDERUNGEN!$A$9:$A$28,0)),"")&lt;&gt;"OK","FORDERUNG NICHT IM PLAN",IF(OR(C26&lt;STEUERUNG!$B$7,C26&gt;EDATE(STEUERUNG!$B$7,71)),"AUSSERHALB HORIZONT","OK"))))</x:f>
      </x:c>
      <x:c r="I26" s="44"/>
    </x:row>
    <x:row r="27" ht="21" customHeight="1">
      <x:c r="A27" s="78"/>
      <x:c r="B27" s="44"/>
      <x:c r="C27" s="80" t="str">
        <x:f>IF(ISNUMBER(A27),DATE(YEAR(A27),MONTH(A27),1),"")</x:f>
      </x:c>
      <x:c r="D27" s="44"/>
      <x:c r="E27" s="50"/>
      <x:c r="F27" s="44"/>
      <x:c r="G27" s="72" t="str">
        <x:f>IF(OR(B27="",NOT(ISNUMBER(B27))),"",IFERROR(INDEX(FORDERUNGEN!$B$9:$B$28,MATCH(B27,FORDERUNGEN!$A$9:$A$28,0)),""))</x:f>
      </x:c>
      <x:c r="H27" s="72" t="str">
        <x:f>IF(COUNTA(A27:B27,D27:F27)=0,"",IF(OR(NOT(ISNUMBER(A27)),NOT(ISNUMBER(B27)),NOT(ISNUMBER(E27)),E27&lt;=0,F27="",G27=""),"PRÜFEN",IF(IFERROR(INDEX(FORDERUNGEN!$K$9:$K$28,MATCH(B27,FORDERUNGEN!$A$9:$A$28,0)),"")&lt;&gt;"OK","FORDERUNG NICHT IM PLAN",IF(OR(C27&lt;STEUERUNG!$B$7,C27&gt;EDATE(STEUERUNG!$B$7,71)),"AUSSERHALB HORIZONT","OK"))))</x:f>
      </x:c>
      <x:c r="I27" s="44"/>
    </x:row>
    <x:row r="28" ht="21" customHeight="1">
      <x:c r="A28" s="78"/>
      <x:c r="B28" s="44"/>
      <x:c r="C28" s="80" t="str">
        <x:f>IF(ISNUMBER(A28),DATE(YEAR(A28),MONTH(A28),1),"")</x:f>
      </x:c>
      <x:c r="D28" s="44"/>
      <x:c r="E28" s="50"/>
      <x:c r="F28" s="44"/>
      <x:c r="G28" s="72" t="str">
        <x:f>IF(OR(B28="",NOT(ISNUMBER(B28))),"",IFERROR(INDEX(FORDERUNGEN!$B$9:$B$28,MATCH(B28,FORDERUNGEN!$A$9:$A$28,0)),""))</x:f>
      </x:c>
      <x:c r="H28" s="72" t="str">
        <x:f>IF(COUNTA(A28:B28,D28:F28)=0,"",IF(OR(NOT(ISNUMBER(A28)),NOT(ISNUMBER(B28)),NOT(ISNUMBER(E28)),E28&lt;=0,F28="",G28=""),"PRÜFEN",IF(IFERROR(INDEX(FORDERUNGEN!$K$9:$K$28,MATCH(B28,FORDERUNGEN!$A$9:$A$28,0)),"")&lt;&gt;"OK","FORDERUNG NICHT IM PLAN",IF(OR(C28&lt;STEUERUNG!$B$7,C28&gt;EDATE(STEUERUNG!$B$7,71)),"AUSSERHALB HORIZONT","OK"))))</x:f>
      </x:c>
      <x:c r="I28" s="44"/>
    </x:row>
    <x:row r="29" ht="21" customHeight="1">
      <x:c r="A29" s="78"/>
      <x:c r="B29" s="44"/>
      <x:c r="C29" s="80" t="str">
        <x:f>IF(ISNUMBER(A29),DATE(YEAR(A29),MONTH(A29),1),"")</x:f>
      </x:c>
      <x:c r="D29" s="44"/>
      <x:c r="E29" s="50"/>
      <x:c r="F29" s="44"/>
      <x:c r="G29" s="72" t="str">
        <x:f>IF(OR(B29="",NOT(ISNUMBER(B29))),"",IFERROR(INDEX(FORDERUNGEN!$B$9:$B$28,MATCH(B29,FORDERUNGEN!$A$9:$A$28,0)),""))</x:f>
      </x:c>
      <x:c r="H29" s="72" t="str">
        <x:f>IF(COUNTA(A29:B29,D29:F29)=0,"",IF(OR(NOT(ISNUMBER(A29)),NOT(ISNUMBER(B29)),NOT(ISNUMBER(E29)),E29&lt;=0,F29="",G29=""),"PRÜFEN",IF(IFERROR(INDEX(FORDERUNGEN!$K$9:$K$28,MATCH(B29,FORDERUNGEN!$A$9:$A$28,0)),"")&lt;&gt;"OK","FORDERUNG NICHT IM PLAN",IF(OR(C29&lt;STEUERUNG!$B$7,C29&gt;EDATE(STEUERUNG!$B$7,71)),"AUSSERHALB HORIZONT","OK"))))</x:f>
      </x:c>
      <x:c r="I29" s="44"/>
    </x:row>
    <x:row r="30" ht="21" customHeight="1">
      <x:c r="A30" s="78"/>
      <x:c r="B30" s="44"/>
      <x:c r="C30" s="80" t="str">
        <x:f>IF(ISNUMBER(A30),DATE(YEAR(A30),MONTH(A30),1),"")</x:f>
      </x:c>
      <x:c r="D30" s="44"/>
      <x:c r="E30" s="50"/>
      <x:c r="F30" s="44"/>
      <x:c r="G30" s="72" t="str">
        <x:f>IF(OR(B30="",NOT(ISNUMBER(B30))),"",IFERROR(INDEX(FORDERUNGEN!$B$9:$B$28,MATCH(B30,FORDERUNGEN!$A$9:$A$28,0)),""))</x:f>
      </x:c>
      <x:c r="H30" s="72" t="str">
        <x:f>IF(COUNTA(A30:B30,D30:F30)=0,"",IF(OR(NOT(ISNUMBER(A30)),NOT(ISNUMBER(B30)),NOT(ISNUMBER(E30)),E30&lt;=0,F30="",G30=""),"PRÜFEN",IF(IFERROR(INDEX(FORDERUNGEN!$K$9:$K$28,MATCH(B30,FORDERUNGEN!$A$9:$A$28,0)),"")&lt;&gt;"OK","FORDERUNG NICHT IM PLAN",IF(OR(C30&lt;STEUERUNG!$B$7,C30&gt;EDATE(STEUERUNG!$B$7,71)),"AUSSERHALB HORIZONT","OK"))))</x:f>
      </x:c>
      <x:c r="I30" s="44"/>
    </x:row>
    <x:row r="31" ht="21" customHeight="1">
      <x:c r="A31" s="78"/>
      <x:c r="B31" s="44"/>
      <x:c r="C31" s="80" t="str">
        <x:f>IF(ISNUMBER(A31),DATE(YEAR(A31),MONTH(A31),1),"")</x:f>
      </x:c>
      <x:c r="D31" s="44"/>
      <x:c r="E31" s="50"/>
      <x:c r="F31" s="44"/>
      <x:c r="G31" s="72" t="str">
        <x:f>IF(OR(B31="",NOT(ISNUMBER(B31))),"",IFERROR(INDEX(FORDERUNGEN!$B$9:$B$28,MATCH(B31,FORDERUNGEN!$A$9:$A$28,0)),""))</x:f>
      </x:c>
      <x:c r="H31" s="72" t="str">
        <x:f>IF(COUNTA(A31:B31,D31:F31)=0,"",IF(OR(NOT(ISNUMBER(A31)),NOT(ISNUMBER(B31)),NOT(ISNUMBER(E31)),E31&lt;=0,F31="",G31=""),"PRÜFEN",IF(IFERROR(INDEX(FORDERUNGEN!$K$9:$K$28,MATCH(B31,FORDERUNGEN!$A$9:$A$28,0)),"")&lt;&gt;"OK","FORDERUNG NICHT IM PLAN",IF(OR(C31&lt;STEUERUNG!$B$7,C31&gt;EDATE(STEUERUNG!$B$7,71)),"AUSSERHALB HORIZONT","OK"))))</x:f>
      </x:c>
      <x:c r="I31" s="44"/>
    </x:row>
    <x:row r="32" ht="21" customHeight="1">
      <x:c r="A32" s="78"/>
      <x:c r="B32" s="44"/>
      <x:c r="C32" s="80" t="str">
        <x:f>IF(ISNUMBER(A32),DATE(YEAR(A32),MONTH(A32),1),"")</x:f>
      </x:c>
      <x:c r="D32" s="44"/>
      <x:c r="E32" s="50"/>
      <x:c r="F32" s="44"/>
      <x:c r="G32" s="72" t="str">
        <x:f>IF(OR(B32="",NOT(ISNUMBER(B32))),"",IFERROR(INDEX(FORDERUNGEN!$B$9:$B$28,MATCH(B32,FORDERUNGEN!$A$9:$A$28,0)),""))</x:f>
      </x:c>
      <x:c r="H32" s="72" t="str">
        <x:f>IF(COUNTA(A32:B32,D32:F32)=0,"",IF(OR(NOT(ISNUMBER(A32)),NOT(ISNUMBER(B32)),NOT(ISNUMBER(E32)),E32&lt;=0,F32="",G32=""),"PRÜFEN",IF(IFERROR(INDEX(FORDERUNGEN!$K$9:$K$28,MATCH(B32,FORDERUNGEN!$A$9:$A$28,0)),"")&lt;&gt;"OK","FORDERUNG NICHT IM PLAN",IF(OR(C32&lt;STEUERUNG!$B$7,C32&gt;EDATE(STEUERUNG!$B$7,71)),"AUSSERHALB HORIZONT","OK"))))</x:f>
      </x:c>
      <x:c r="I32" s="44"/>
    </x:row>
    <x:row r="33" ht="21" customHeight="1">
      <x:c r="A33" s="78"/>
      <x:c r="B33" s="44"/>
      <x:c r="C33" s="80" t="str">
        <x:f>IF(ISNUMBER(A33),DATE(YEAR(A33),MONTH(A33),1),"")</x:f>
      </x:c>
      <x:c r="D33" s="44"/>
      <x:c r="E33" s="50"/>
      <x:c r="F33" s="44"/>
      <x:c r="G33" s="72" t="str">
        <x:f>IF(OR(B33="",NOT(ISNUMBER(B33))),"",IFERROR(INDEX(FORDERUNGEN!$B$9:$B$28,MATCH(B33,FORDERUNGEN!$A$9:$A$28,0)),""))</x:f>
      </x:c>
      <x:c r="H33" s="72" t="str">
        <x:f>IF(COUNTA(A33:B33,D33:F33)=0,"",IF(OR(NOT(ISNUMBER(A33)),NOT(ISNUMBER(B33)),NOT(ISNUMBER(E33)),E33&lt;=0,F33="",G33=""),"PRÜFEN",IF(IFERROR(INDEX(FORDERUNGEN!$K$9:$K$28,MATCH(B33,FORDERUNGEN!$A$9:$A$28,0)),"")&lt;&gt;"OK","FORDERUNG NICHT IM PLAN",IF(OR(C33&lt;STEUERUNG!$B$7,C33&gt;EDATE(STEUERUNG!$B$7,71)),"AUSSERHALB HORIZONT","OK"))))</x:f>
      </x:c>
      <x:c r="I33" s="44"/>
    </x:row>
    <x:row r="34" ht="21" customHeight="1">
      <x:c r="A34" s="78"/>
      <x:c r="B34" s="44"/>
      <x:c r="C34" s="80" t="str">
        <x:f>IF(ISNUMBER(A34),DATE(YEAR(A34),MONTH(A34),1),"")</x:f>
      </x:c>
      <x:c r="D34" s="44"/>
      <x:c r="E34" s="50"/>
      <x:c r="F34" s="44"/>
      <x:c r="G34" s="72" t="str">
        <x:f>IF(OR(B34="",NOT(ISNUMBER(B34))),"",IFERROR(INDEX(FORDERUNGEN!$B$9:$B$28,MATCH(B34,FORDERUNGEN!$A$9:$A$28,0)),""))</x:f>
      </x:c>
      <x:c r="H34" s="72" t="str">
        <x:f>IF(COUNTA(A34:B34,D34:F34)=0,"",IF(OR(NOT(ISNUMBER(A34)),NOT(ISNUMBER(B34)),NOT(ISNUMBER(E34)),E34&lt;=0,F34="",G34=""),"PRÜFEN",IF(IFERROR(INDEX(FORDERUNGEN!$K$9:$K$28,MATCH(B34,FORDERUNGEN!$A$9:$A$28,0)),"")&lt;&gt;"OK","FORDERUNG NICHT IM PLAN",IF(OR(C34&lt;STEUERUNG!$B$7,C34&gt;EDATE(STEUERUNG!$B$7,71)),"AUSSERHALB HORIZONT","OK"))))</x:f>
      </x:c>
      <x:c r="I34" s="44"/>
    </x:row>
    <x:row r="35" ht="21" customHeight="1">
      <x:c r="A35" s="78"/>
      <x:c r="B35" s="44"/>
      <x:c r="C35" s="80" t="str">
        <x:f>IF(ISNUMBER(A35),DATE(YEAR(A35),MONTH(A35),1),"")</x:f>
      </x:c>
      <x:c r="D35" s="44"/>
      <x:c r="E35" s="50"/>
      <x:c r="F35" s="44"/>
      <x:c r="G35" s="72" t="str">
        <x:f>IF(OR(B35="",NOT(ISNUMBER(B35))),"",IFERROR(INDEX(FORDERUNGEN!$B$9:$B$28,MATCH(B35,FORDERUNGEN!$A$9:$A$28,0)),""))</x:f>
      </x:c>
      <x:c r="H35" s="72" t="str">
        <x:f>IF(COUNTA(A35:B35,D35:F35)=0,"",IF(OR(NOT(ISNUMBER(A35)),NOT(ISNUMBER(B35)),NOT(ISNUMBER(E35)),E35&lt;=0,F35="",G35=""),"PRÜFEN",IF(IFERROR(INDEX(FORDERUNGEN!$K$9:$K$28,MATCH(B35,FORDERUNGEN!$A$9:$A$28,0)),"")&lt;&gt;"OK","FORDERUNG NICHT IM PLAN",IF(OR(C35&lt;STEUERUNG!$B$7,C35&gt;EDATE(STEUERUNG!$B$7,71)),"AUSSERHALB HORIZONT","OK"))))</x:f>
      </x:c>
      <x:c r="I35" s="44"/>
    </x:row>
    <x:row r="36" ht="21" customHeight="1">
      <x:c r="A36" s="78"/>
      <x:c r="B36" s="44"/>
      <x:c r="C36" s="80" t="str">
        <x:f>IF(ISNUMBER(A36),DATE(YEAR(A36),MONTH(A36),1),"")</x:f>
      </x:c>
      <x:c r="D36" s="44"/>
      <x:c r="E36" s="50"/>
      <x:c r="F36" s="44"/>
      <x:c r="G36" s="72" t="str">
        <x:f>IF(OR(B36="",NOT(ISNUMBER(B36))),"",IFERROR(INDEX(FORDERUNGEN!$B$9:$B$28,MATCH(B36,FORDERUNGEN!$A$9:$A$28,0)),""))</x:f>
      </x:c>
      <x:c r="H36" s="72" t="str">
        <x:f>IF(COUNTA(A36:B36,D36:F36)=0,"",IF(OR(NOT(ISNUMBER(A36)),NOT(ISNUMBER(B36)),NOT(ISNUMBER(E36)),E36&lt;=0,F36="",G36=""),"PRÜFEN",IF(IFERROR(INDEX(FORDERUNGEN!$K$9:$K$28,MATCH(B36,FORDERUNGEN!$A$9:$A$28,0)),"")&lt;&gt;"OK","FORDERUNG NICHT IM PLAN",IF(OR(C36&lt;STEUERUNG!$B$7,C36&gt;EDATE(STEUERUNG!$B$7,71)),"AUSSERHALB HORIZONT","OK"))))</x:f>
      </x:c>
      <x:c r="I36" s="44"/>
    </x:row>
    <x:row r="37" ht="21" customHeight="1">
      <x:c r="A37" s="78"/>
      <x:c r="B37" s="44"/>
      <x:c r="C37" s="80" t="str">
        <x:f>IF(ISNUMBER(A37),DATE(YEAR(A37),MONTH(A37),1),"")</x:f>
      </x:c>
      <x:c r="D37" s="44"/>
      <x:c r="E37" s="50"/>
      <x:c r="F37" s="44"/>
      <x:c r="G37" s="72" t="str">
        <x:f>IF(OR(B37="",NOT(ISNUMBER(B37))),"",IFERROR(INDEX(FORDERUNGEN!$B$9:$B$28,MATCH(B37,FORDERUNGEN!$A$9:$A$28,0)),""))</x:f>
      </x:c>
      <x:c r="H37" s="72" t="str">
        <x:f>IF(COUNTA(A37:B37,D37:F37)=0,"",IF(OR(NOT(ISNUMBER(A37)),NOT(ISNUMBER(B37)),NOT(ISNUMBER(E37)),E37&lt;=0,F37="",G37=""),"PRÜFEN",IF(IFERROR(INDEX(FORDERUNGEN!$K$9:$K$28,MATCH(B37,FORDERUNGEN!$A$9:$A$28,0)),"")&lt;&gt;"OK","FORDERUNG NICHT IM PLAN",IF(OR(C37&lt;STEUERUNG!$B$7,C37&gt;EDATE(STEUERUNG!$B$7,71)),"AUSSERHALB HORIZONT","OK"))))</x:f>
      </x:c>
      <x:c r="I37" s="44"/>
    </x:row>
    <x:row r="38" ht="21" customHeight="1">
      <x:c r="A38" s="78"/>
      <x:c r="B38" s="44"/>
      <x:c r="C38" s="80" t="str">
        <x:f>IF(ISNUMBER(A38),DATE(YEAR(A38),MONTH(A38),1),"")</x:f>
      </x:c>
      <x:c r="D38" s="44"/>
      <x:c r="E38" s="50"/>
      <x:c r="F38" s="44"/>
      <x:c r="G38" s="72" t="str">
        <x:f>IF(OR(B38="",NOT(ISNUMBER(B38))),"",IFERROR(INDEX(FORDERUNGEN!$B$9:$B$28,MATCH(B38,FORDERUNGEN!$A$9:$A$28,0)),""))</x:f>
      </x:c>
      <x:c r="H38" s="72" t="str">
        <x:f>IF(COUNTA(A38:B38,D38:F38)=0,"",IF(OR(NOT(ISNUMBER(A38)),NOT(ISNUMBER(B38)),NOT(ISNUMBER(E38)),E38&lt;=0,F38="",G38=""),"PRÜFEN",IF(IFERROR(INDEX(FORDERUNGEN!$K$9:$K$28,MATCH(B38,FORDERUNGEN!$A$9:$A$28,0)),"")&lt;&gt;"OK","FORDERUNG NICHT IM PLAN",IF(OR(C38&lt;STEUERUNG!$B$7,C38&gt;EDATE(STEUERUNG!$B$7,71)),"AUSSERHALB HORIZONT","OK"))))</x:f>
      </x:c>
      <x:c r="I38" s="44"/>
    </x:row>
    <x:row r="39" ht="21" customHeight="1">
      <x:c r="A39" s="78"/>
      <x:c r="B39" s="44"/>
      <x:c r="C39" s="80" t="str">
        <x:f>IF(ISNUMBER(A39),DATE(YEAR(A39),MONTH(A39),1),"")</x:f>
      </x:c>
      <x:c r="D39" s="44"/>
      <x:c r="E39" s="50"/>
      <x:c r="F39" s="44"/>
      <x:c r="G39" s="72" t="str">
        <x:f>IF(OR(B39="",NOT(ISNUMBER(B39))),"",IFERROR(INDEX(FORDERUNGEN!$B$9:$B$28,MATCH(B39,FORDERUNGEN!$A$9:$A$28,0)),""))</x:f>
      </x:c>
      <x:c r="H39" s="72" t="str">
        <x:f>IF(COUNTA(A39:B39,D39:F39)=0,"",IF(OR(NOT(ISNUMBER(A39)),NOT(ISNUMBER(B39)),NOT(ISNUMBER(E39)),E39&lt;=0,F39="",G39=""),"PRÜFEN",IF(IFERROR(INDEX(FORDERUNGEN!$K$9:$K$28,MATCH(B39,FORDERUNGEN!$A$9:$A$28,0)),"")&lt;&gt;"OK","FORDERUNG NICHT IM PLAN",IF(OR(C39&lt;STEUERUNG!$B$7,C39&gt;EDATE(STEUERUNG!$B$7,71)),"AUSSERHALB HORIZONT","OK"))))</x:f>
      </x:c>
      <x:c r="I39" s="44"/>
    </x:row>
    <x:row r="40" ht="21" customHeight="1">
      <x:c r="A40" s="78"/>
      <x:c r="B40" s="44"/>
      <x:c r="C40" s="80" t="str">
        <x:f>IF(ISNUMBER(A40),DATE(YEAR(A40),MONTH(A40),1),"")</x:f>
      </x:c>
      <x:c r="D40" s="44"/>
      <x:c r="E40" s="50"/>
      <x:c r="F40" s="44"/>
      <x:c r="G40" s="72" t="str">
        <x:f>IF(OR(B40="",NOT(ISNUMBER(B40))),"",IFERROR(INDEX(FORDERUNGEN!$B$9:$B$28,MATCH(B40,FORDERUNGEN!$A$9:$A$28,0)),""))</x:f>
      </x:c>
      <x:c r="H40" s="72" t="str">
        <x:f>IF(COUNTA(A40:B40,D40:F40)=0,"",IF(OR(NOT(ISNUMBER(A40)),NOT(ISNUMBER(B40)),NOT(ISNUMBER(E40)),E40&lt;=0,F40="",G40=""),"PRÜFEN",IF(IFERROR(INDEX(FORDERUNGEN!$K$9:$K$28,MATCH(B40,FORDERUNGEN!$A$9:$A$28,0)),"")&lt;&gt;"OK","FORDERUNG NICHT IM PLAN",IF(OR(C40&lt;STEUERUNG!$B$7,C40&gt;EDATE(STEUERUNG!$B$7,71)),"AUSSERHALB HORIZONT","OK"))))</x:f>
      </x:c>
      <x:c r="I40" s="44"/>
    </x:row>
    <x:row r="41" ht="21" customHeight="1">
      <x:c r="A41" s="78"/>
      <x:c r="B41" s="44"/>
      <x:c r="C41" s="80" t="str">
        <x:f>IF(ISNUMBER(A41),DATE(YEAR(A41),MONTH(A41),1),"")</x:f>
      </x:c>
      <x:c r="D41" s="44"/>
      <x:c r="E41" s="50"/>
      <x:c r="F41" s="44"/>
      <x:c r="G41" s="72" t="str">
        <x:f>IF(OR(B41="",NOT(ISNUMBER(B41))),"",IFERROR(INDEX(FORDERUNGEN!$B$9:$B$28,MATCH(B41,FORDERUNGEN!$A$9:$A$28,0)),""))</x:f>
      </x:c>
      <x:c r="H41" s="72" t="str">
        <x:f>IF(COUNTA(A41:B41,D41:F41)=0,"",IF(OR(NOT(ISNUMBER(A41)),NOT(ISNUMBER(B41)),NOT(ISNUMBER(E41)),E41&lt;=0,F41="",G41=""),"PRÜFEN",IF(IFERROR(INDEX(FORDERUNGEN!$K$9:$K$28,MATCH(B41,FORDERUNGEN!$A$9:$A$28,0)),"")&lt;&gt;"OK","FORDERUNG NICHT IM PLAN",IF(OR(C41&lt;STEUERUNG!$B$7,C41&gt;EDATE(STEUERUNG!$B$7,71)),"AUSSERHALB HORIZONT","OK"))))</x:f>
      </x:c>
      <x:c r="I41" s="44"/>
    </x:row>
    <x:row r="42" ht="21" customHeight="1">
      <x:c r="A42" s="78"/>
      <x:c r="B42" s="44"/>
      <x:c r="C42" s="80" t="str">
        <x:f>IF(ISNUMBER(A42),DATE(YEAR(A42),MONTH(A42),1),"")</x:f>
      </x:c>
      <x:c r="D42" s="44"/>
      <x:c r="E42" s="50"/>
      <x:c r="F42" s="44"/>
      <x:c r="G42" s="72" t="str">
        <x:f>IF(OR(B42="",NOT(ISNUMBER(B42))),"",IFERROR(INDEX(FORDERUNGEN!$B$9:$B$28,MATCH(B42,FORDERUNGEN!$A$9:$A$28,0)),""))</x:f>
      </x:c>
      <x:c r="H42" s="72" t="str">
        <x:f>IF(COUNTA(A42:B42,D42:F42)=0,"",IF(OR(NOT(ISNUMBER(A42)),NOT(ISNUMBER(B42)),NOT(ISNUMBER(E42)),E42&lt;=0,F42="",G42=""),"PRÜFEN",IF(IFERROR(INDEX(FORDERUNGEN!$K$9:$K$28,MATCH(B42,FORDERUNGEN!$A$9:$A$28,0)),"")&lt;&gt;"OK","FORDERUNG NICHT IM PLAN",IF(OR(C42&lt;STEUERUNG!$B$7,C42&gt;EDATE(STEUERUNG!$B$7,71)),"AUSSERHALB HORIZONT","OK"))))</x:f>
      </x:c>
      <x:c r="I42" s="44"/>
    </x:row>
    <x:row r="43" ht="21" customHeight="1">
      <x:c r="A43" s="78"/>
      <x:c r="B43" s="44"/>
      <x:c r="C43" s="80" t="str">
        <x:f>IF(ISNUMBER(A43),DATE(YEAR(A43),MONTH(A43),1),"")</x:f>
      </x:c>
      <x:c r="D43" s="44"/>
      <x:c r="E43" s="50"/>
      <x:c r="F43" s="44"/>
      <x:c r="G43" s="72" t="str">
        <x:f>IF(OR(B43="",NOT(ISNUMBER(B43))),"",IFERROR(INDEX(FORDERUNGEN!$B$9:$B$28,MATCH(B43,FORDERUNGEN!$A$9:$A$28,0)),""))</x:f>
      </x:c>
      <x:c r="H43" s="72" t="str">
        <x:f>IF(COUNTA(A43:B43,D43:F43)=0,"",IF(OR(NOT(ISNUMBER(A43)),NOT(ISNUMBER(B43)),NOT(ISNUMBER(E43)),E43&lt;=0,F43="",G43=""),"PRÜFEN",IF(IFERROR(INDEX(FORDERUNGEN!$K$9:$K$28,MATCH(B43,FORDERUNGEN!$A$9:$A$28,0)),"")&lt;&gt;"OK","FORDERUNG NICHT IM PLAN",IF(OR(C43&lt;STEUERUNG!$B$7,C43&gt;EDATE(STEUERUNG!$B$7,71)),"AUSSERHALB HORIZONT","OK"))))</x:f>
      </x:c>
      <x:c r="I43" s="44"/>
    </x:row>
    <x:row r="44" ht="21" customHeight="1">
      <x:c r="A44" s="78"/>
      <x:c r="B44" s="44"/>
      <x:c r="C44" s="80" t="str">
        <x:f>IF(ISNUMBER(A44),DATE(YEAR(A44),MONTH(A44),1),"")</x:f>
      </x:c>
      <x:c r="D44" s="44"/>
      <x:c r="E44" s="50"/>
      <x:c r="F44" s="44"/>
      <x:c r="G44" s="72" t="str">
        <x:f>IF(OR(B44="",NOT(ISNUMBER(B44))),"",IFERROR(INDEX(FORDERUNGEN!$B$9:$B$28,MATCH(B44,FORDERUNGEN!$A$9:$A$28,0)),""))</x:f>
      </x:c>
      <x:c r="H44" s="72" t="str">
        <x:f>IF(COUNTA(A44:B44,D44:F44)=0,"",IF(OR(NOT(ISNUMBER(A44)),NOT(ISNUMBER(B44)),NOT(ISNUMBER(E44)),E44&lt;=0,F44="",G44=""),"PRÜFEN",IF(IFERROR(INDEX(FORDERUNGEN!$K$9:$K$28,MATCH(B44,FORDERUNGEN!$A$9:$A$28,0)),"")&lt;&gt;"OK","FORDERUNG NICHT IM PLAN",IF(OR(C44&lt;STEUERUNG!$B$7,C44&gt;EDATE(STEUERUNG!$B$7,71)),"AUSSERHALB HORIZONT","OK"))))</x:f>
      </x:c>
      <x:c r="I44" s="44"/>
    </x:row>
    <x:row r="45" ht="21" customHeight="1">
      <x:c r="A45" s="78"/>
      <x:c r="B45" s="44"/>
      <x:c r="C45" s="80" t="str">
        <x:f>IF(ISNUMBER(A45),DATE(YEAR(A45),MONTH(A45),1),"")</x:f>
      </x:c>
      <x:c r="D45" s="44"/>
      <x:c r="E45" s="50"/>
      <x:c r="F45" s="44"/>
      <x:c r="G45" s="72" t="str">
        <x:f>IF(OR(B45="",NOT(ISNUMBER(B45))),"",IFERROR(INDEX(FORDERUNGEN!$B$9:$B$28,MATCH(B45,FORDERUNGEN!$A$9:$A$28,0)),""))</x:f>
      </x:c>
      <x:c r="H45" s="72" t="str">
        <x:f>IF(COUNTA(A45:B45,D45:F45)=0,"",IF(OR(NOT(ISNUMBER(A45)),NOT(ISNUMBER(B45)),NOT(ISNUMBER(E45)),E45&lt;=0,F45="",G45=""),"PRÜFEN",IF(IFERROR(INDEX(FORDERUNGEN!$K$9:$K$28,MATCH(B45,FORDERUNGEN!$A$9:$A$28,0)),"")&lt;&gt;"OK","FORDERUNG NICHT IM PLAN",IF(OR(C45&lt;STEUERUNG!$B$7,C45&gt;EDATE(STEUERUNG!$B$7,71)),"AUSSERHALB HORIZONT","OK"))))</x:f>
      </x:c>
      <x:c r="I45" s="44"/>
    </x:row>
    <x:row r="46" ht="21" customHeight="1">
      <x:c r="A46" s="78"/>
      <x:c r="B46" s="44"/>
      <x:c r="C46" s="80" t="str">
        <x:f>IF(ISNUMBER(A46),DATE(YEAR(A46),MONTH(A46),1),"")</x:f>
      </x:c>
      <x:c r="D46" s="44"/>
      <x:c r="E46" s="50"/>
      <x:c r="F46" s="44"/>
      <x:c r="G46" s="72" t="str">
        <x:f>IF(OR(B46="",NOT(ISNUMBER(B46))),"",IFERROR(INDEX(FORDERUNGEN!$B$9:$B$28,MATCH(B46,FORDERUNGEN!$A$9:$A$28,0)),""))</x:f>
      </x:c>
      <x:c r="H46" s="72" t="str">
        <x:f>IF(COUNTA(A46:B46,D46:F46)=0,"",IF(OR(NOT(ISNUMBER(A46)),NOT(ISNUMBER(B46)),NOT(ISNUMBER(E46)),E46&lt;=0,F46="",G46=""),"PRÜFEN",IF(IFERROR(INDEX(FORDERUNGEN!$K$9:$K$28,MATCH(B46,FORDERUNGEN!$A$9:$A$28,0)),"")&lt;&gt;"OK","FORDERUNG NICHT IM PLAN",IF(OR(C46&lt;STEUERUNG!$B$7,C46&gt;EDATE(STEUERUNG!$B$7,71)),"AUSSERHALB HORIZONT","OK"))))</x:f>
      </x:c>
      <x:c r="I46" s="44"/>
    </x:row>
    <x:row r="47" ht="21" customHeight="1">
      <x:c r="A47" s="78"/>
      <x:c r="B47" s="44"/>
      <x:c r="C47" s="80" t="str">
        <x:f>IF(ISNUMBER(A47),DATE(YEAR(A47),MONTH(A47),1),"")</x:f>
      </x:c>
      <x:c r="D47" s="44"/>
      <x:c r="E47" s="50"/>
      <x:c r="F47" s="44"/>
      <x:c r="G47" s="72" t="str">
        <x:f>IF(OR(B47="",NOT(ISNUMBER(B47))),"",IFERROR(INDEX(FORDERUNGEN!$B$9:$B$28,MATCH(B47,FORDERUNGEN!$A$9:$A$28,0)),""))</x:f>
      </x:c>
      <x:c r="H47" s="72" t="str">
        <x:f>IF(COUNTA(A47:B47,D47:F47)=0,"",IF(OR(NOT(ISNUMBER(A47)),NOT(ISNUMBER(B47)),NOT(ISNUMBER(E47)),E47&lt;=0,F47="",G47=""),"PRÜFEN",IF(IFERROR(INDEX(FORDERUNGEN!$K$9:$K$28,MATCH(B47,FORDERUNGEN!$A$9:$A$28,0)),"")&lt;&gt;"OK","FORDERUNG NICHT IM PLAN",IF(OR(C47&lt;STEUERUNG!$B$7,C47&gt;EDATE(STEUERUNG!$B$7,71)),"AUSSERHALB HORIZONT","OK"))))</x:f>
      </x:c>
      <x:c r="I47" s="44"/>
    </x:row>
    <x:row r="48" ht="21" customHeight="1">
      <x:c r="A48" s="78"/>
      <x:c r="B48" s="44"/>
      <x:c r="C48" s="80" t="str">
        <x:f>IF(ISNUMBER(A48),DATE(YEAR(A48),MONTH(A48),1),"")</x:f>
      </x:c>
      <x:c r="D48" s="44"/>
      <x:c r="E48" s="50"/>
      <x:c r="F48" s="44"/>
      <x:c r="G48" s="72" t="str">
        <x:f>IF(OR(B48="",NOT(ISNUMBER(B48))),"",IFERROR(INDEX(FORDERUNGEN!$B$9:$B$28,MATCH(B48,FORDERUNGEN!$A$9:$A$28,0)),""))</x:f>
      </x:c>
      <x:c r="H48" s="72" t="str">
        <x:f>IF(COUNTA(A48:B48,D48:F48)=0,"",IF(OR(NOT(ISNUMBER(A48)),NOT(ISNUMBER(B48)),NOT(ISNUMBER(E48)),E48&lt;=0,F48="",G48=""),"PRÜFEN",IF(IFERROR(INDEX(FORDERUNGEN!$K$9:$K$28,MATCH(B48,FORDERUNGEN!$A$9:$A$28,0)),"")&lt;&gt;"OK","FORDERUNG NICHT IM PLAN",IF(OR(C48&lt;STEUERUNG!$B$7,C48&gt;EDATE(STEUERUNG!$B$7,71)),"AUSSERHALB HORIZONT","OK"))))</x:f>
      </x:c>
      <x:c r="I48" s="44"/>
    </x:row>
    <x:row r="49" ht="21" customHeight="1">
      <x:c r="A49" s="78"/>
      <x:c r="B49" s="44"/>
      <x:c r="C49" s="80" t="str">
        <x:f>IF(ISNUMBER(A49),DATE(YEAR(A49),MONTH(A49),1),"")</x:f>
      </x:c>
      <x:c r="D49" s="44"/>
      <x:c r="E49" s="50"/>
      <x:c r="F49" s="44"/>
      <x:c r="G49" s="72" t="str">
        <x:f>IF(OR(B49="",NOT(ISNUMBER(B49))),"",IFERROR(INDEX(FORDERUNGEN!$B$9:$B$28,MATCH(B49,FORDERUNGEN!$A$9:$A$28,0)),""))</x:f>
      </x:c>
      <x:c r="H49" s="72" t="str">
        <x:f>IF(COUNTA(A49:B49,D49:F49)=0,"",IF(OR(NOT(ISNUMBER(A49)),NOT(ISNUMBER(B49)),NOT(ISNUMBER(E49)),E49&lt;=0,F49="",G49=""),"PRÜFEN",IF(IFERROR(INDEX(FORDERUNGEN!$K$9:$K$28,MATCH(B49,FORDERUNGEN!$A$9:$A$28,0)),"")&lt;&gt;"OK","FORDERUNG NICHT IM PLAN",IF(OR(C49&lt;STEUERUNG!$B$7,C49&gt;EDATE(STEUERUNG!$B$7,71)),"AUSSERHALB HORIZONT","OK"))))</x:f>
      </x:c>
      <x:c r="I49" s="44"/>
    </x:row>
    <x:row r="50" ht="21" customHeight="1">
      <x:c r="A50" s="78"/>
      <x:c r="B50" s="44"/>
      <x:c r="C50" s="80" t="str">
        <x:f>IF(ISNUMBER(A50),DATE(YEAR(A50),MONTH(A50),1),"")</x:f>
      </x:c>
      <x:c r="D50" s="44"/>
      <x:c r="E50" s="50"/>
      <x:c r="F50" s="44"/>
      <x:c r="G50" s="72" t="str">
        <x:f>IF(OR(B50="",NOT(ISNUMBER(B50))),"",IFERROR(INDEX(FORDERUNGEN!$B$9:$B$28,MATCH(B50,FORDERUNGEN!$A$9:$A$28,0)),""))</x:f>
      </x:c>
      <x:c r="H50" s="72" t="str">
        <x:f>IF(COUNTA(A50:B50,D50:F50)=0,"",IF(OR(NOT(ISNUMBER(A50)),NOT(ISNUMBER(B50)),NOT(ISNUMBER(E50)),E50&lt;=0,F50="",G50=""),"PRÜFEN",IF(IFERROR(INDEX(FORDERUNGEN!$K$9:$K$28,MATCH(B50,FORDERUNGEN!$A$9:$A$28,0)),"")&lt;&gt;"OK","FORDERUNG NICHT IM PLAN",IF(OR(C50&lt;STEUERUNG!$B$7,C50&gt;EDATE(STEUERUNG!$B$7,71)),"AUSSERHALB HORIZONT","OK"))))</x:f>
      </x:c>
      <x:c r="I50" s="44"/>
    </x:row>
    <x:row r="51" ht="21" customHeight="1">
      <x:c r="A51" s="78"/>
      <x:c r="B51" s="44"/>
      <x:c r="C51" s="80" t="str">
        <x:f>IF(ISNUMBER(A51),DATE(YEAR(A51),MONTH(A51),1),"")</x:f>
      </x:c>
      <x:c r="D51" s="44"/>
      <x:c r="E51" s="50"/>
      <x:c r="F51" s="44"/>
      <x:c r="G51" s="72" t="str">
        <x:f>IF(OR(B51="",NOT(ISNUMBER(B51))),"",IFERROR(INDEX(FORDERUNGEN!$B$9:$B$28,MATCH(B51,FORDERUNGEN!$A$9:$A$28,0)),""))</x:f>
      </x:c>
      <x:c r="H51" s="72" t="str">
        <x:f>IF(COUNTA(A51:B51,D51:F51)=0,"",IF(OR(NOT(ISNUMBER(A51)),NOT(ISNUMBER(B51)),NOT(ISNUMBER(E51)),E51&lt;=0,F51="",G51=""),"PRÜFEN",IF(IFERROR(INDEX(FORDERUNGEN!$K$9:$K$28,MATCH(B51,FORDERUNGEN!$A$9:$A$28,0)),"")&lt;&gt;"OK","FORDERUNG NICHT IM PLAN",IF(OR(C51&lt;STEUERUNG!$B$7,C51&gt;EDATE(STEUERUNG!$B$7,71)),"AUSSERHALB HORIZONT","OK"))))</x:f>
      </x:c>
      <x:c r="I51" s="44"/>
    </x:row>
    <x:row r="52" ht="21" customHeight="1">
      <x:c r="A52" s="78"/>
      <x:c r="B52" s="44"/>
      <x:c r="C52" s="80" t="str">
        <x:f>IF(ISNUMBER(A52),DATE(YEAR(A52),MONTH(A52),1),"")</x:f>
      </x:c>
      <x:c r="D52" s="44"/>
      <x:c r="E52" s="50"/>
      <x:c r="F52" s="44"/>
      <x:c r="G52" s="72" t="str">
        <x:f>IF(OR(B52="",NOT(ISNUMBER(B52))),"",IFERROR(INDEX(FORDERUNGEN!$B$9:$B$28,MATCH(B52,FORDERUNGEN!$A$9:$A$28,0)),""))</x:f>
      </x:c>
      <x:c r="H52" s="72" t="str">
        <x:f>IF(COUNTA(A52:B52,D52:F52)=0,"",IF(OR(NOT(ISNUMBER(A52)),NOT(ISNUMBER(B52)),NOT(ISNUMBER(E52)),E52&lt;=0,F52="",G52=""),"PRÜFEN",IF(IFERROR(INDEX(FORDERUNGEN!$K$9:$K$28,MATCH(B52,FORDERUNGEN!$A$9:$A$28,0)),"")&lt;&gt;"OK","FORDERUNG NICHT IM PLAN",IF(OR(C52&lt;STEUERUNG!$B$7,C52&gt;EDATE(STEUERUNG!$B$7,71)),"AUSSERHALB HORIZONT","OK"))))</x:f>
      </x:c>
      <x:c r="I52" s="44"/>
    </x:row>
    <x:row r="53" ht="21" customHeight="1">
      <x:c r="A53" s="78"/>
      <x:c r="B53" s="44"/>
      <x:c r="C53" s="80" t="str">
        <x:f>IF(ISNUMBER(A53),DATE(YEAR(A53),MONTH(A53),1),"")</x:f>
      </x:c>
      <x:c r="D53" s="44"/>
      <x:c r="E53" s="50"/>
      <x:c r="F53" s="44"/>
      <x:c r="G53" s="72" t="str">
        <x:f>IF(OR(B53="",NOT(ISNUMBER(B53))),"",IFERROR(INDEX(FORDERUNGEN!$B$9:$B$28,MATCH(B53,FORDERUNGEN!$A$9:$A$28,0)),""))</x:f>
      </x:c>
      <x:c r="H53" s="72" t="str">
        <x:f>IF(COUNTA(A53:B53,D53:F53)=0,"",IF(OR(NOT(ISNUMBER(A53)),NOT(ISNUMBER(B53)),NOT(ISNUMBER(E53)),E53&lt;=0,F53="",G53=""),"PRÜFEN",IF(IFERROR(INDEX(FORDERUNGEN!$K$9:$K$28,MATCH(B53,FORDERUNGEN!$A$9:$A$28,0)),"")&lt;&gt;"OK","FORDERUNG NICHT IM PLAN",IF(OR(C53&lt;STEUERUNG!$B$7,C53&gt;EDATE(STEUERUNG!$B$7,71)),"AUSSERHALB HORIZONT","OK"))))</x:f>
      </x:c>
      <x:c r="I53" s="44"/>
    </x:row>
    <x:row r="54" ht="21" customHeight="1">
      <x:c r="A54" s="78"/>
      <x:c r="B54" s="44"/>
      <x:c r="C54" s="80" t="str">
        <x:f>IF(ISNUMBER(A54),DATE(YEAR(A54),MONTH(A54),1),"")</x:f>
      </x:c>
      <x:c r="D54" s="44"/>
      <x:c r="E54" s="50"/>
      <x:c r="F54" s="44"/>
      <x:c r="G54" s="72" t="str">
        <x:f>IF(OR(B54="",NOT(ISNUMBER(B54))),"",IFERROR(INDEX(FORDERUNGEN!$B$9:$B$28,MATCH(B54,FORDERUNGEN!$A$9:$A$28,0)),""))</x:f>
      </x:c>
      <x:c r="H54" s="72" t="str">
        <x:f>IF(COUNTA(A54:B54,D54:F54)=0,"",IF(OR(NOT(ISNUMBER(A54)),NOT(ISNUMBER(B54)),NOT(ISNUMBER(E54)),E54&lt;=0,F54="",G54=""),"PRÜFEN",IF(IFERROR(INDEX(FORDERUNGEN!$K$9:$K$28,MATCH(B54,FORDERUNGEN!$A$9:$A$28,0)),"")&lt;&gt;"OK","FORDERUNG NICHT IM PLAN",IF(OR(C54&lt;STEUERUNG!$B$7,C54&gt;EDATE(STEUERUNG!$B$7,71)),"AUSSERHALB HORIZONT","OK"))))</x:f>
      </x:c>
      <x:c r="I54" s="44"/>
    </x:row>
    <x:row r="55" ht="21" customHeight="1">
      <x:c r="A55" s="78"/>
      <x:c r="B55" s="44"/>
      <x:c r="C55" s="80" t="str">
        <x:f>IF(ISNUMBER(A55),DATE(YEAR(A55),MONTH(A55),1),"")</x:f>
      </x:c>
      <x:c r="D55" s="44"/>
      <x:c r="E55" s="50"/>
      <x:c r="F55" s="44"/>
      <x:c r="G55" s="72" t="str">
        <x:f>IF(OR(B55="",NOT(ISNUMBER(B55))),"",IFERROR(INDEX(FORDERUNGEN!$B$9:$B$28,MATCH(B55,FORDERUNGEN!$A$9:$A$28,0)),""))</x:f>
      </x:c>
      <x:c r="H55" s="72" t="str">
        <x:f>IF(COUNTA(A55:B55,D55:F55)=0,"",IF(OR(NOT(ISNUMBER(A55)),NOT(ISNUMBER(B55)),NOT(ISNUMBER(E55)),E55&lt;=0,F55="",G55=""),"PRÜFEN",IF(IFERROR(INDEX(FORDERUNGEN!$K$9:$K$28,MATCH(B55,FORDERUNGEN!$A$9:$A$28,0)),"")&lt;&gt;"OK","FORDERUNG NICHT IM PLAN",IF(OR(C55&lt;STEUERUNG!$B$7,C55&gt;EDATE(STEUERUNG!$B$7,71)),"AUSSERHALB HORIZONT","OK"))))</x:f>
      </x:c>
      <x:c r="I55" s="44"/>
    </x:row>
    <x:row r="56" ht="21" customHeight="1">
      <x:c r="A56" s="78"/>
      <x:c r="B56" s="44"/>
      <x:c r="C56" s="80" t="str">
        <x:f>IF(ISNUMBER(A56),DATE(YEAR(A56),MONTH(A56),1),"")</x:f>
      </x:c>
      <x:c r="D56" s="44"/>
      <x:c r="E56" s="50"/>
      <x:c r="F56" s="44"/>
      <x:c r="G56" s="72" t="str">
        <x:f>IF(OR(B56="",NOT(ISNUMBER(B56))),"",IFERROR(INDEX(FORDERUNGEN!$B$9:$B$28,MATCH(B56,FORDERUNGEN!$A$9:$A$28,0)),""))</x:f>
      </x:c>
      <x:c r="H56" s="72" t="str">
        <x:f>IF(COUNTA(A56:B56,D56:F56)=0,"",IF(OR(NOT(ISNUMBER(A56)),NOT(ISNUMBER(B56)),NOT(ISNUMBER(E56)),E56&lt;=0,F56="",G56=""),"PRÜFEN",IF(IFERROR(INDEX(FORDERUNGEN!$K$9:$K$28,MATCH(B56,FORDERUNGEN!$A$9:$A$28,0)),"")&lt;&gt;"OK","FORDERUNG NICHT IM PLAN",IF(OR(C56&lt;STEUERUNG!$B$7,C56&gt;EDATE(STEUERUNG!$B$7,71)),"AUSSERHALB HORIZONT","OK"))))</x:f>
      </x:c>
      <x:c r="I56" s="44"/>
    </x:row>
    <x:row r="57" ht="21" customHeight="1">
      <x:c r="A57" s="78"/>
      <x:c r="B57" s="44"/>
      <x:c r="C57" s="80" t="str">
        <x:f>IF(ISNUMBER(A57),DATE(YEAR(A57),MONTH(A57),1),"")</x:f>
      </x:c>
      <x:c r="D57" s="44"/>
      <x:c r="E57" s="50"/>
      <x:c r="F57" s="44"/>
      <x:c r="G57" s="72" t="str">
        <x:f>IF(OR(B57="",NOT(ISNUMBER(B57))),"",IFERROR(INDEX(FORDERUNGEN!$B$9:$B$28,MATCH(B57,FORDERUNGEN!$A$9:$A$28,0)),""))</x:f>
      </x:c>
      <x:c r="H57" s="72" t="str">
        <x:f>IF(COUNTA(A57:B57,D57:F57)=0,"",IF(OR(NOT(ISNUMBER(A57)),NOT(ISNUMBER(B57)),NOT(ISNUMBER(E57)),E57&lt;=0,F57="",G57=""),"PRÜFEN",IF(IFERROR(INDEX(FORDERUNGEN!$K$9:$K$28,MATCH(B57,FORDERUNGEN!$A$9:$A$28,0)),"")&lt;&gt;"OK","FORDERUNG NICHT IM PLAN",IF(OR(C57&lt;STEUERUNG!$B$7,C57&gt;EDATE(STEUERUNG!$B$7,71)),"AUSSERHALB HORIZONT","OK"))))</x:f>
      </x:c>
      <x:c r="I57" s="44"/>
    </x:row>
    <x:row r="58" ht="21" customHeight="1">
      <x:c r="A58" s="78"/>
      <x:c r="B58" s="44"/>
      <x:c r="C58" s="80" t="str">
        <x:f>IF(ISNUMBER(A58),DATE(YEAR(A58),MONTH(A58),1),"")</x:f>
      </x:c>
      <x:c r="D58" s="44"/>
      <x:c r="E58" s="50"/>
      <x:c r="F58" s="44"/>
      <x:c r="G58" s="72" t="str">
        <x:f>IF(OR(B58="",NOT(ISNUMBER(B58))),"",IFERROR(INDEX(FORDERUNGEN!$B$9:$B$28,MATCH(B58,FORDERUNGEN!$A$9:$A$28,0)),""))</x:f>
      </x:c>
      <x:c r="H58" s="72" t="str">
        <x:f>IF(COUNTA(A58:B58,D58:F58)=0,"",IF(OR(NOT(ISNUMBER(A58)),NOT(ISNUMBER(B58)),NOT(ISNUMBER(E58)),E58&lt;=0,F58="",G58=""),"PRÜFEN",IF(IFERROR(INDEX(FORDERUNGEN!$K$9:$K$28,MATCH(B58,FORDERUNGEN!$A$9:$A$28,0)),"")&lt;&gt;"OK","FORDERUNG NICHT IM PLAN",IF(OR(C58&lt;STEUERUNG!$B$7,C58&gt;EDATE(STEUERUNG!$B$7,71)),"AUSSERHALB HORIZONT","OK"))))</x:f>
      </x:c>
      <x:c r="I58" s="44"/>
    </x:row>
    <x:row r="59" ht="21" customHeight="1">
      <x:c r="A59" s="78"/>
      <x:c r="B59" s="44"/>
      <x:c r="C59" s="80" t="str">
        <x:f>IF(ISNUMBER(A59),DATE(YEAR(A59),MONTH(A59),1),"")</x:f>
      </x:c>
      <x:c r="D59" s="44"/>
      <x:c r="E59" s="50"/>
      <x:c r="F59" s="44"/>
      <x:c r="G59" s="72" t="str">
        <x:f>IF(OR(B59="",NOT(ISNUMBER(B59))),"",IFERROR(INDEX(FORDERUNGEN!$B$9:$B$28,MATCH(B59,FORDERUNGEN!$A$9:$A$28,0)),""))</x:f>
      </x:c>
      <x:c r="H59" s="72" t="str">
        <x:f>IF(COUNTA(A59:B59,D59:F59)=0,"",IF(OR(NOT(ISNUMBER(A59)),NOT(ISNUMBER(B59)),NOT(ISNUMBER(E59)),E59&lt;=0,F59="",G59=""),"PRÜFEN",IF(IFERROR(INDEX(FORDERUNGEN!$K$9:$K$28,MATCH(B59,FORDERUNGEN!$A$9:$A$28,0)),"")&lt;&gt;"OK","FORDERUNG NICHT IM PLAN",IF(OR(C59&lt;STEUERUNG!$B$7,C59&gt;EDATE(STEUERUNG!$B$7,71)),"AUSSERHALB HORIZONT","OK"))))</x:f>
      </x:c>
      <x:c r="I59" s="44"/>
    </x:row>
    <x:row r="60" ht="21" customHeight="1">
      <x:c r="A60" s="78"/>
      <x:c r="B60" s="44"/>
      <x:c r="C60" s="80" t="str">
        <x:f>IF(ISNUMBER(A60),DATE(YEAR(A60),MONTH(A60),1),"")</x:f>
      </x:c>
      <x:c r="D60" s="44"/>
      <x:c r="E60" s="50"/>
      <x:c r="F60" s="44"/>
      <x:c r="G60" s="72" t="str">
        <x:f>IF(OR(B60="",NOT(ISNUMBER(B60))),"",IFERROR(INDEX(FORDERUNGEN!$B$9:$B$28,MATCH(B60,FORDERUNGEN!$A$9:$A$28,0)),""))</x:f>
      </x:c>
      <x:c r="H60" s="72" t="str">
        <x:f>IF(COUNTA(A60:B60,D60:F60)=0,"",IF(OR(NOT(ISNUMBER(A60)),NOT(ISNUMBER(B60)),NOT(ISNUMBER(E60)),E60&lt;=0,F60="",G60=""),"PRÜFEN",IF(IFERROR(INDEX(FORDERUNGEN!$K$9:$K$28,MATCH(B60,FORDERUNGEN!$A$9:$A$28,0)),"")&lt;&gt;"OK","FORDERUNG NICHT IM PLAN",IF(OR(C60&lt;STEUERUNG!$B$7,C60&gt;EDATE(STEUERUNG!$B$7,71)),"AUSSERHALB HORIZONT","OK"))))</x:f>
      </x:c>
      <x:c r="I60" s="44"/>
    </x:row>
    <x:row r="61" ht="21" customHeight="1">
      <x:c r="A61" s="78"/>
      <x:c r="B61" s="44"/>
      <x:c r="C61" s="80" t="str">
        <x:f>IF(ISNUMBER(A61),DATE(YEAR(A61),MONTH(A61),1),"")</x:f>
      </x:c>
      <x:c r="D61" s="44"/>
      <x:c r="E61" s="50"/>
      <x:c r="F61" s="44"/>
      <x:c r="G61" s="72" t="str">
        <x:f>IF(OR(B61="",NOT(ISNUMBER(B61))),"",IFERROR(INDEX(FORDERUNGEN!$B$9:$B$28,MATCH(B61,FORDERUNGEN!$A$9:$A$28,0)),""))</x:f>
      </x:c>
      <x:c r="H61" s="72" t="str">
        <x:f>IF(COUNTA(A61:B61,D61:F61)=0,"",IF(OR(NOT(ISNUMBER(A61)),NOT(ISNUMBER(B61)),NOT(ISNUMBER(E61)),E61&lt;=0,F61="",G61=""),"PRÜFEN",IF(IFERROR(INDEX(FORDERUNGEN!$K$9:$K$28,MATCH(B61,FORDERUNGEN!$A$9:$A$28,0)),"")&lt;&gt;"OK","FORDERUNG NICHT IM PLAN",IF(OR(C61&lt;STEUERUNG!$B$7,C61&gt;EDATE(STEUERUNG!$B$7,71)),"AUSSERHALB HORIZONT","OK"))))</x:f>
      </x:c>
      <x:c r="I61" s="44"/>
    </x:row>
    <x:row r="62" ht="21" customHeight="1">
      <x:c r="A62" s="78"/>
      <x:c r="B62" s="44"/>
      <x:c r="C62" s="80" t="str">
        <x:f>IF(ISNUMBER(A62),DATE(YEAR(A62),MONTH(A62),1),"")</x:f>
      </x:c>
      <x:c r="D62" s="44"/>
      <x:c r="E62" s="50"/>
      <x:c r="F62" s="44"/>
      <x:c r="G62" s="72" t="str">
        <x:f>IF(OR(B62="",NOT(ISNUMBER(B62))),"",IFERROR(INDEX(FORDERUNGEN!$B$9:$B$28,MATCH(B62,FORDERUNGEN!$A$9:$A$28,0)),""))</x:f>
      </x:c>
      <x:c r="H62" s="72" t="str">
        <x:f>IF(COUNTA(A62:B62,D62:F62)=0,"",IF(OR(NOT(ISNUMBER(A62)),NOT(ISNUMBER(B62)),NOT(ISNUMBER(E62)),E62&lt;=0,F62="",G62=""),"PRÜFEN",IF(IFERROR(INDEX(FORDERUNGEN!$K$9:$K$28,MATCH(B62,FORDERUNGEN!$A$9:$A$28,0)),"")&lt;&gt;"OK","FORDERUNG NICHT IM PLAN",IF(OR(C62&lt;STEUERUNG!$B$7,C62&gt;EDATE(STEUERUNG!$B$7,71)),"AUSSERHALB HORIZONT","OK"))))</x:f>
      </x:c>
      <x:c r="I62" s="44"/>
    </x:row>
    <x:row r="63" ht="21" customHeight="1">
      <x:c r="A63" s="78"/>
      <x:c r="B63" s="44"/>
      <x:c r="C63" s="80" t="str">
        <x:f>IF(ISNUMBER(A63),DATE(YEAR(A63),MONTH(A63),1),"")</x:f>
      </x:c>
      <x:c r="D63" s="44"/>
      <x:c r="E63" s="50"/>
      <x:c r="F63" s="44"/>
      <x:c r="G63" s="72" t="str">
        <x:f>IF(OR(B63="",NOT(ISNUMBER(B63))),"",IFERROR(INDEX(FORDERUNGEN!$B$9:$B$28,MATCH(B63,FORDERUNGEN!$A$9:$A$28,0)),""))</x:f>
      </x:c>
      <x:c r="H63" s="72" t="str">
        <x:f>IF(COUNTA(A63:B63,D63:F63)=0,"",IF(OR(NOT(ISNUMBER(A63)),NOT(ISNUMBER(B63)),NOT(ISNUMBER(E63)),E63&lt;=0,F63="",G63=""),"PRÜFEN",IF(IFERROR(INDEX(FORDERUNGEN!$K$9:$K$28,MATCH(B63,FORDERUNGEN!$A$9:$A$28,0)),"")&lt;&gt;"OK","FORDERUNG NICHT IM PLAN",IF(OR(C63&lt;STEUERUNG!$B$7,C63&gt;EDATE(STEUERUNG!$B$7,71)),"AUSSERHALB HORIZONT","OK"))))</x:f>
      </x:c>
      <x:c r="I63" s="44"/>
    </x:row>
    <x:row r="64" ht="21" customHeight="1">
      <x:c r="A64" s="78"/>
      <x:c r="B64" s="44"/>
      <x:c r="C64" s="80" t="str">
        <x:f>IF(ISNUMBER(A64),DATE(YEAR(A64),MONTH(A64),1),"")</x:f>
      </x:c>
      <x:c r="D64" s="44"/>
      <x:c r="E64" s="50"/>
      <x:c r="F64" s="44"/>
      <x:c r="G64" s="72" t="str">
        <x:f>IF(OR(B64="",NOT(ISNUMBER(B64))),"",IFERROR(INDEX(FORDERUNGEN!$B$9:$B$28,MATCH(B64,FORDERUNGEN!$A$9:$A$28,0)),""))</x:f>
      </x:c>
      <x:c r="H64" s="72" t="str">
        <x:f>IF(COUNTA(A64:B64,D64:F64)=0,"",IF(OR(NOT(ISNUMBER(A64)),NOT(ISNUMBER(B64)),NOT(ISNUMBER(E64)),E64&lt;=0,F64="",G64=""),"PRÜFEN",IF(IFERROR(INDEX(FORDERUNGEN!$K$9:$K$28,MATCH(B64,FORDERUNGEN!$A$9:$A$28,0)),"")&lt;&gt;"OK","FORDERUNG NICHT IM PLAN",IF(OR(C64&lt;STEUERUNG!$B$7,C64&gt;EDATE(STEUERUNG!$B$7,71)),"AUSSERHALB HORIZONT","OK"))))</x:f>
      </x:c>
      <x:c r="I64" s="44"/>
    </x:row>
    <x:row r="65" ht="21" customHeight="1">
      <x:c r="A65" s="78"/>
      <x:c r="B65" s="44"/>
      <x:c r="C65" s="80" t="str">
        <x:f>IF(ISNUMBER(A65),DATE(YEAR(A65),MONTH(A65),1),"")</x:f>
      </x:c>
      <x:c r="D65" s="44"/>
      <x:c r="E65" s="50"/>
      <x:c r="F65" s="44"/>
      <x:c r="G65" s="72" t="str">
        <x:f>IF(OR(B65="",NOT(ISNUMBER(B65))),"",IFERROR(INDEX(FORDERUNGEN!$B$9:$B$28,MATCH(B65,FORDERUNGEN!$A$9:$A$28,0)),""))</x:f>
      </x:c>
      <x:c r="H65" s="72" t="str">
        <x:f>IF(COUNTA(A65:B65,D65:F65)=0,"",IF(OR(NOT(ISNUMBER(A65)),NOT(ISNUMBER(B65)),NOT(ISNUMBER(E65)),E65&lt;=0,F65="",G65=""),"PRÜFEN",IF(IFERROR(INDEX(FORDERUNGEN!$K$9:$K$28,MATCH(B65,FORDERUNGEN!$A$9:$A$28,0)),"")&lt;&gt;"OK","FORDERUNG NICHT IM PLAN",IF(OR(C65&lt;STEUERUNG!$B$7,C65&gt;EDATE(STEUERUNG!$B$7,71)),"AUSSERHALB HORIZONT","OK"))))</x:f>
      </x:c>
      <x:c r="I65" s="44"/>
    </x:row>
    <x:row r="66" ht="21" customHeight="1">
      <x:c r="A66" s="78"/>
      <x:c r="B66" s="44"/>
      <x:c r="C66" s="80" t="str">
        <x:f>IF(ISNUMBER(A66),DATE(YEAR(A66),MONTH(A66),1),"")</x:f>
      </x:c>
      <x:c r="D66" s="44"/>
      <x:c r="E66" s="50"/>
      <x:c r="F66" s="44"/>
      <x:c r="G66" s="72" t="str">
        <x:f>IF(OR(B66="",NOT(ISNUMBER(B66))),"",IFERROR(INDEX(FORDERUNGEN!$B$9:$B$28,MATCH(B66,FORDERUNGEN!$A$9:$A$28,0)),""))</x:f>
      </x:c>
      <x:c r="H66" s="72" t="str">
        <x:f>IF(COUNTA(A66:B66,D66:F66)=0,"",IF(OR(NOT(ISNUMBER(A66)),NOT(ISNUMBER(B66)),NOT(ISNUMBER(E66)),E66&lt;=0,F66="",G66=""),"PRÜFEN",IF(IFERROR(INDEX(FORDERUNGEN!$K$9:$K$28,MATCH(B66,FORDERUNGEN!$A$9:$A$28,0)),"")&lt;&gt;"OK","FORDERUNG NICHT IM PLAN",IF(OR(C66&lt;STEUERUNG!$B$7,C66&gt;EDATE(STEUERUNG!$B$7,71)),"AUSSERHALB HORIZONT","OK"))))</x:f>
      </x:c>
      <x:c r="I66" s="44"/>
    </x:row>
    <x:row r="67" ht="21" customHeight="1">
      <x:c r="A67" s="78"/>
      <x:c r="B67" s="44"/>
      <x:c r="C67" s="80" t="str">
        <x:f>IF(ISNUMBER(A67),DATE(YEAR(A67),MONTH(A67),1),"")</x:f>
      </x:c>
      <x:c r="D67" s="44"/>
      <x:c r="E67" s="50"/>
      <x:c r="F67" s="44"/>
      <x:c r="G67" s="72" t="str">
        <x:f>IF(OR(B67="",NOT(ISNUMBER(B67))),"",IFERROR(INDEX(FORDERUNGEN!$B$9:$B$28,MATCH(B67,FORDERUNGEN!$A$9:$A$28,0)),""))</x:f>
      </x:c>
      <x:c r="H67" s="72" t="str">
        <x:f>IF(COUNTA(A67:B67,D67:F67)=0,"",IF(OR(NOT(ISNUMBER(A67)),NOT(ISNUMBER(B67)),NOT(ISNUMBER(E67)),E67&lt;=0,F67="",G67=""),"PRÜFEN",IF(IFERROR(INDEX(FORDERUNGEN!$K$9:$K$28,MATCH(B67,FORDERUNGEN!$A$9:$A$28,0)),"")&lt;&gt;"OK","FORDERUNG NICHT IM PLAN",IF(OR(C67&lt;STEUERUNG!$B$7,C67&gt;EDATE(STEUERUNG!$B$7,71)),"AUSSERHALB HORIZONT","OK"))))</x:f>
      </x:c>
      <x:c r="I67" s="44"/>
    </x:row>
    <x:row r="68" ht="21" customHeight="1">
      <x:c r="A68" s="78"/>
      <x:c r="B68" s="44"/>
      <x:c r="C68" s="80" t="str">
        <x:f>IF(ISNUMBER(A68),DATE(YEAR(A68),MONTH(A68),1),"")</x:f>
      </x:c>
      <x:c r="D68" s="44"/>
      <x:c r="E68" s="50"/>
      <x:c r="F68" s="44"/>
      <x:c r="G68" s="72" t="str">
        <x:f>IF(OR(B68="",NOT(ISNUMBER(B68))),"",IFERROR(INDEX(FORDERUNGEN!$B$9:$B$28,MATCH(B68,FORDERUNGEN!$A$9:$A$28,0)),""))</x:f>
      </x:c>
      <x:c r="H68" s="72" t="str">
        <x:f>IF(COUNTA(A68:B68,D68:F68)=0,"",IF(OR(NOT(ISNUMBER(A68)),NOT(ISNUMBER(B68)),NOT(ISNUMBER(E68)),E68&lt;=0,F68="",G68=""),"PRÜFEN",IF(IFERROR(INDEX(FORDERUNGEN!$K$9:$K$28,MATCH(B68,FORDERUNGEN!$A$9:$A$28,0)),"")&lt;&gt;"OK","FORDERUNG NICHT IM PLAN",IF(OR(C68&lt;STEUERUNG!$B$7,C68&gt;EDATE(STEUERUNG!$B$7,71)),"AUSSERHALB HORIZONT","OK"))))</x:f>
      </x:c>
      <x:c r="I68" s="44"/>
    </x:row>
    <x:row r="69" ht="21" customHeight="1">
      <x:c r="A69" s="78"/>
      <x:c r="B69" s="44"/>
      <x:c r="C69" s="80" t="str">
        <x:f>IF(ISNUMBER(A69),DATE(YEAR(A69),MONTH(A69),1),"")</x:f>
      </x:c>
      <x:c r="D69" s="44"/>
      <x:c r="E69" s="50"/>
      <x:c r="F69" s="44"/>
      <x:c r="G69" s="72" t="str">
        <x:f>IF(OR(B69="",NOT(ISNUMBER(B69))),"",IFERROR(INDEX(FORDERUNGEN!$B$9:$B$28,MATCH(B69,FORDERUNGEN!$A$9:$A$28,0)),""))</x:f>
      </x:c>
      <x:c r="H69" s="72" t="str">
        <x:f>IF(COUNTA(A69:B69,D69:F69)=0,"",IF(OR(NOT(ISNUMBER(A69)),NOT(ISNUMBER(B69)),NOT(ISNUMBER(E69)),E69&lt;=0,F69="",G69=""),"PRÜFEN",IF(IFERROR(INDEX(FORDERUNGEN!$K$9:$K$28,MATCH(B69,FORDERUNGEN!$A$9:$A$28,0)),"")&lt;&gt;"OK","FORDERUNG NICHT IM PLAN",IF(OR(C69&lt;STEUERUNG!$B$7,C69&gt;EDATE(STEUERUNG!$B$7,71)),"AUSSERHALB HORIZONT","OK"))))</x:f>
      </x:c>
      <x:c r="I69" s="44"/>
    </x:row>
    <x:row r="70" ht="21" customHeight="1">
      <x:c r="A70" s="78"/>
      <x:c r="B70" s="44"/>
      <x:c r="C70" s="80" t="str">
        <x:f>IF(ISNUMBER(A70),DATE(YEAR(A70),MONTH(A70),1),"")</x:f>
      </x:c>
      <x:c r="D70" s="44"/>
      <x:c r="E70" s="50"/>
      <x:c r="F70" s="44"/>
      <x:c r="G70" s="72" t="str">
        <x:f>IF(OR(B70="",NOT(ISNUMBER(B70))),"",IFERROR(INDEX(FORDERUNGEN!$B$9:$B$28,MATCH(B70,FORDERUNGEN!$A$9:$A$28,0)),""))</x:f>
      </x:c>
      <x:c r="H70" s="72" t="str">
        <x:f>IF(COUNTA(A70:B70,D70:F70)=0,"",IF(OR(NOT(ISNUMBER(A70)),NOT(ISNUMBER(B70)),NOT(ISNUMBER(E70)),E70&lt;=0,F70="",G70=""),"PRÜFEN",IF(IFERROR(INDEX(FORDERUNGEN!$K$9:$K$28,MATCH(B70,FORDERUNGEN!$A$9:$A$28,0)),"")&lt;&gt;"OK","FORDERUNG NICHT IM PLAN",IF(OR(C70&lt;STEUERUNG!$B$7,C70&gt;EDATE(STEUERUNG!$B$7,71)),"AUSSERHALB HORIZONT","OK"))))</x:f>
      </x:c>
      <x:c r="I70" s="44"/>
    </x:row>
    <x:row r="71" ht="21" customHeight="1">
      <x:c r="A71" s="78"/>
      <x:c r="B71" s="44"/>
      <x:c r="C71" s="80" t="str">
        <x:f>IF(ISNUMBER(A71),DATE(YEAR(A71),MONTH(A71),1),"")</x:f>
      </x:c>
      <x:c r="D71" s="44"/>
      <x:c r="E71" s="50"/>
      <x:c r="F71" s="44"/>
      <x:c r="G71" s="72" t="str">
        <x:f>IF(OR(B71="",NOT(ISNUMBER(B71))),"",IFERROR(INDEX(FORDERUNGEN!$B$9:$B$28,MATCH(B71,FORDERUNGEN!$A$9:$A$28,0)),""))</x:f>
      </x:c>
      <x:c r="H71" s="72" t="str">
        <x:f>IF(COUNTA(A71:B71,D71:F71)=0,"",IF(OR(NOT(ISNUMBER(A71)),NOT(ISNUMBER(B71)),NOT(ISNUMBER(E71)),E71&lt;=0,F71="",G71=""),"PRÜFEN",IF(IFERROR(INDEX(FORDERUNGEN!$K$9:$K$28,MATCH(B71,FORDERUNGEN!$A$9:$A$28,0)),"")&lt;&gt;"OK","FORDERUNG NICHT IM PLAN",IF(OR(C71&lt;STEUERUNG!$B$7,C71&gt;EDATE(STEUERUNG!$B$7,71)),"AUSSERHALB HORIZONT","OK"))))</x:f>
      </x:c>
      <x:c r="I71" s="44"/>
    </x:row>
    <x:row r="72" ht="21" customHeight="1">
      <x:c r="A72" s="78"/>
      <x:c r="B72" s="44"/>
      <x:c r="C72" s="80" t="str">
        <x:f>IF(ISNUMBER(A72),DATE(YEAR(A72),MONTH(A72),1),"")</x:f>
      </x:c>
      <x:c r="D72" s="44"/>
      <x:c r="E72" s="50"/>
      <x:c r="F72" s="44"/>
      <x:c r="G72" s="72" t="str">
        <x:f>IF(OR(B72="",NOT(ISNUMBER(B72))),"",IFERROR(INDEX(FORDERUNGEN!$B$9:$B$28,MATCH(B72,FORDERUNGEN!$A$9:$A$28,0)),""))</x:f>
      </x:c>
      <x:c r="H72" s="72" t="str">
        <x:f>IF(COUNTA(A72:B72,D72:F72)=0,"",IF(OR(NOT(ISNUMBER(A72)),NOT(ISNUMBER(B72)),NOT(ISNUMBER(E72)),E72&lt;=0,F72="",G72=""),"PRÜFEN",IF(IFERROR(INDEX(FORDERUNGEN!$K$9:$K$28,MATCH(B72,FORDERUNGEN!$A$9:$A$28,0)),"")&lt;&gt;"OK","FORDERUNG NICHT IM PLAN",IF(OR(C72&lt;STEUERUNG!$B$7,C72&gt;EDATE(STEUERUNG!$B$7,71)),"AUSSERHALB HORIZONT","OK"))))</x:f>
      </x:c>
      <x:c r="I72" s="44"/>
    </x:row>
    <x:row r="73" ht="21" customHeight="1">
      <x:c r="A73" s="78"/>
      <x:c r="B73" s="44"/>
      <x:c r="C73" s="80" t="str">
        <x:f>IF(ISNUMBER(A73),DATE(YEAR(A73),MONTH(A73),1),"")</x:f>
      </x:c>
      <x:c r="D73" s="44"/>
      <x:c r="E73" s="50"/>
      <x:c r="F73" s="44"/>
      <x:c r="G73" s="72" t="str">
        <x:f>IF(OR(B73="",NOT(ISNUMBER(B73))),"",IFERROR(INDEX(FORDERUNGEN!$B$9:$B$28,MATCH(B73,FORDERUNGEN!$A$9:$A$28,0)),""))</x:f>
      </x:c>
      <x:c r="H73" s="72" t="str">
        <x:f>IF(COUNTA(A73:B73,D73:F73)=0,"",IF(OR(NOT(ISNUMBER(A73)),NOT(ISNUMBER(B73)),NOT(ISNUMBER(E73)),E73&lt;=0,F73="",G73=""),"PRÜFEN",IF(IFERROR(INDEX(FORDERUNGEN!$K$9:$K$28,MATCH(B73,FORDERUNGEN!$A$9:$A$28,0)),"")&lt;&gt;"OK","FORDERUNG NICHT IM PLAN",IF(OR(C73&lt;STEUERUNG!$B$7,C73&gt;EDATE(STEUERUNG!$B$7,71)),"AUSSERHALB HORIZONT","OK"))))</x:f>
      </x:c>
      <x:c r="I73" s="44"/>
    </x:row>
    <x:row r="74" ht="21" customHeight="1">
      <x:c r="A74" s="78"/>
      <x:c r="B74" s="44"/>
      <x:c r="C74" s="80" t="str">
        <x:f>IF(ISNUMBER(A74),DATE(YEAR(A74),MONTH(A74),1),"")</x:f>
      </x:c>
      <x:c r="D74" s="44"/>
      <x:c r="E74" s="50"/>
      <x:c r="F74" s="44"/>
      <x:c r="G74" s="72" t="str">
        <x:f>IF(OR(B74="",NOT(ISNUMBER(B74))),"",IFERROR(INDEX(FORDERUNGEN!$B$9:$B$28,MATCH(B74,FORDERUNGEN!$A$9:$A$28,0)),""))</x:f>
      </x:c>
      <x:c r="H74" s="72" t="str">
        <x:f>IF(COUNTA(A74:B74,D74:F74)=0,"",IF(OR(NOT(ISNUMBER(A74)),NOT(ISNUMBER(B74)),NOT(ISNUMBER(E74)),E74&lt;=0,F74="",G74=""),"PRÜFEN",IF(IFERROR(INDEX(FORDERUNGEN!$K$9:$K$28,MATCH(B74,FORDERUNGEN!$A$9:$A$28,0)),"")&lt;&gt;"OK","FORDERUNG NICHT IM PLAN",IF(OR(C74&lt;STEUERUNG!$B$7,C74&gt;EDATE(STEUERUNG!$B$7,71)),"AUSSERHALB HORIZONT","OK"))))</x:f>
      </x:c>
      <x:c r="I74" s="44"/>
    </x:row>
    <x:row r="75" ht="21" customHeight="1">
      <x:c r="A75" s="78"/>
      <x:c r="B75" s="44"/>
      <x:c r="C75" s="80" t="str">
        <x:f>IF(ISNUMBER(A75),DATE(YEAR(A75),MONTH(A75),1),"")</x:f>
      </x:c>
      <x:c r="D75" s="44"/>
      <x:c r="E75" s="50"/>
      <x:c r="F75" s="44"/>
      <x:c r="G75" s="72" t="str">
        <x:f>IF(OR(B75="",NOT(ISNUMBER(B75))),"",IFERROR(INDEX(FORDERUNGEN!$B$9:$B$28,MATCH(B75,FORDERUNGEN!$A$9:$A$28,0)),""))</x:f>
      </x:c>
      <x:c r="H75" s="72" t="str">
        <x:f>IF(COUNTA(A75:B75,D75:F75)=0,"",IF(OR(NOT(ISNUMBER(A75)),NOT(ISNUMBER(B75)),NOT(ISNUMBER(E75)),E75&lt;=0,F75="",G75=""),"PRÜFEN",IF(IFERROR(INDEX(FORDERUNGEN!$K$9:$K$28,MATCH(B75,FORDERUNGEN!$A$9:$A$28,0)),"")&lt;&gt;"OK","FORDERUNG NICHT IM PLAN",IF(OR(C75&lt;STEUERUNG!$B$7,C75&gt;EDATE(STEUERUNG!$B$7,71)),"AUSSERHALB HORIZONT","OK"))))</x:f>
      </x:c>
      <x:c r="I75" s="44"/>
    </x:row>
    <x:row r="76" ht="21" customHeight="1">
      <x:c r="A76" s="78"/>
      <x:c r="B76" s="44"/>
      <x:c r="C76" s="80" t="str">
        <x:f>IF(ISNUMBER(A76),DATE(YEAR(A76),MONTH(A76),1),"")</x:f>
      </x:c>
      <x:c r="D76" s="44"/>
      <x:c r="E76" s="50"/>
      <x:c r="F76" s="44"/>
      <x:c r="G76" s="72" t="str">
        <x:f>IF(OR(B76="",NOT(ISNUMBER(B76))),"",IFERROR(INDEX(FORDERUNGEN!$B$9:$B$28,MATCH(B76,FORDERUNGEN!$A$9:$A$28,0)),""))</x:f>
      </x:c>
      <x:c r="H76" s="72" t="str">
        <x:f>IF(COUNTA(A76:B76,D76:F76)=0,"",IF(OR(NOT(ISNUMBER(A76)),NOT(ISNUMBER(B76)),NOT(ISNUMBER(E76)),E76&lt;=0,F76="",G76=""),"PRÜFEN",IF(IFERROR(INDEX(FORDERUNGEN!$K$9:$K$28,MATCH(B76,FORDERUNGEN!$A$9:$A$28,0)),"")&lt;&gt;"OK","FORDERUNG NICHT IM PLAN",IF(OR(C76&lt;STEUERUNG!$B$7,C76&gt;EDATE(STEUERUNG!$B$7,71)),"AUSSERHALB HORIZONT","OK"))))</x:f>
      </x:c>
      <x:c r="I76" s="44"/>
    </x:row>
    <x:row r="77" ht="21" customHeight="1">
      <x:c r="A77" s="78"/>
      <x:c r="B77" s="44"/>
      <x:c r="C77" s="80" t="str">
        <x:f>IF(ISNUMBER(A77),DATE(YEAR(A77),MONTH(A77),1),"")</x:f>
      </x:c>
      <x:c r="D77" s="44"/>
      <x:c r="E77" s="50"/>
      <x:c r="F77" s="44"/>
      <x:c r="G77" s="72" t="str">
        <x:f>IF(OR(B77="",NOT(ISNUMBER(B77))),"",IFERROR(INDEX(FORDERUNGEN!$B$9:$B$28,MATCH(B77,FORDERUNGEN!$A$9:$A$28,0)),""))</x:f>
      </x:c>
      <x:c r="H77" s="72" t="str">
        <x:f>IF(COUNTA(A77:B77,D77:F77)=0,"",IF(OR(NOT(ISNUMBER(A77)),NOT(ISNUMBER(B77)),NOT(ISNUMBER(E77)),E77&lt;=0,F77="",G77=""),"PRÜFEN",IF(IFERROR(INDEX(FORDERUNGEN!$K$9:$K$28,MATCH(B77,FORDERUNGEN!$A$9:$A$28,0)),"")&lt;&gt;"OK","FORDERUNG NICHT IM PLAN",IF(OR(C77&lt;STEUERUNG!$B$7,C77&gt;EDATE(STEUERUNG!$B$7,71)),"AUSSERHALB HORIZONT","OK"))))</x:f>
      </x:c>
      <x:c r="I77" s="44"/>
    </x:row>
    <x:row r="78" ht="21" customHeight="1">
      <x:c r="A78" s="78"/>
      <x:c r="B78" s="44"/>
      <x:c r="C78" s="80" t="str">
        <x:f>IF(ISNUMBER(A78),DATE(YEAR(A78),MONTH(A78),1),"")</x:f>
      </x:c>
      <x:c r="D78" s="44"/>
      <x:c r="E78" s="50"/>
      <x:c r="F78" s="44"/>
      <x:c r="G78" s="72" t="str">
        <x:f>IF(OR(B78="",NOT(ISNUMBER(B78))),"",IFERROR(INDEX(FORDERUNGEN!$B$9:$B$28,MATCH(B78,FORDERUNGEN!$A$9:$A$28,0)),""))</x:f>
      </x:c>
      <x:c r="H78" s="72" t="str">
        <x:f>IF(COUNTA(A78:B78,D78:F78)=0,"",IF(OR(NOT(ISNUMBER(A78)),NOT(ISNUMBER(B78)),NOT(ISNUMBER(E78)),E78&lt;=0,F78="",G78=""),"PRÜFEN",IF(IFERROR(INDEX(FORDERUNGEN!$K$9:$K$28,MATCH(B78,FORDERUNGEN!$A$9:$A$28,0)),"")&lt;&gt;"OK","FORDERUNG NICHT IM PLAN",IF(OR(C78&lt;STEUERUNG!$B$7,C78&gt;EDATE(STEUERUNG!$B$7,71)),"AUSSERHALB HORIZONT","OK"))))</x:f>
      </x:c>
      <x:c r="I78" s="44"/>
    </x:row>
    <x:row r="79" ht="21" customHeight="1">
      <x:c r="A79" s="78"/>
      <x:c r="B79" s="44"/>
      <x:c r="C79" s="80" t="str">
        <x:f>IF(ISNUMBER(A79),DATE(YEAR(A79),MONTH(A79),1),"")</x:f>
      </x:c>
      <x:c r="D79" s="44"/>
      <x:c r="E79" s="50"/>
      <x:c r="F79" s="44"/>
      <x:c r="G79" s="72" t="str">
        <x:f>IF(OR(B79="",NOT(ISNUMBER(B79))),"",IFERROR(INDEX(FORDERUNGEN!$B$9:$B$28,MATCH(B79,FORDERUNGEN!$A$9:$A$28,0)),""))</x:f>
      </x:c>
      <x:c r="H79" s="72" t="str">
        <x:f>IF(COUNTA(A79:B79,D79:F79)=0,"",IF(OR(NOT(ISNUMBER(A79)),NOT(ISNUMBER(B79)),NOT(ISNUMBER(E79)),E79&lt;=0,F79="",G79=""),"PRÜFEN",IF(IFERROR(INDEX(FORDERUNGEN!$K$9:$K$28,MATCH(B79,FORDERUNGEN!$A$9:$A$28,0)),"")&lt;&gt;"OK","FORDERUNG NICHT IM PLAN",IF(OR(C79&lt;STEUERUNG!$B$7,C79&gt;EDATE(STEUERUNG!$B$7,71)),"AUSSERHALB HORIZONT","OK"))))</x:f>
      </x:c>
      <x:c r="I79" s="44"/>
    </x:row>
    <x:row r="80" ht="21" customHeight="1">
      <x:c r="A80" s="78"/>
      <x:c r="B80" s="44"/>
      <x:c r="C80" s="80" t="str">
        <x:f>IF(ISNUMBER(A80),DATE(YEAR(A80),MONTH(A80),1),"")</x:f>
      </x:c>
      <x:c r="D80" s="44"/>
      <x:c r="E80" s="50"/>
      <x:c r="F80" s="44"/>
      <x:c r="G80" s="72" t="str">
        <x:f>IF(OR(B80="",NOT(ISNUMBER(B80))),"",IFERROR(INDEX(FORDERUNGEN!$B$9:$B$28,MATCH(B80,FORDERUNGEN!$A$9:$A$28,0)),""))</x:f>
      </x:c>
      <x:c r="H80" s="72" t="str">
        <x:f>IF(COUNTA(A80:B80,D80:F80)=0,"",IF(OR(NOT(ISNUMBER(A80)),NOT(ISNUMBER(B80)),NOT(ISNUMBER(E80)),E80&lt;=0,F80="",G80=""),"PRÜFEN",IF(IFERROR(INDEX(FORDERUNGEN!$K$9:$K$28,MATCH(B80,FORDERUNGEN!$A$9:$A$28,0)),"")&lt;&gt;"OK","FORDERUNG NICHT IM PLAN",IF(OR(C80&lt;STEUERUNG!$B$7,C80&gt;EDATE(STEUERUNG!$B$7,71)),"AUSSERHALB HORIZONT","OK"))))</x:f>
      </x:c>
      <x:c r="I80" s="44"/>
    </x:row>
    <x:row r="81" ht="21" customHeight="1">
      <x:c r="A81" s="78"/>
      <x:c r="B81" s="44"/>
      <x:c r="C81" s="80" t="str">
        <x:f>IF(ISNUMBER(A81),DATE(YEAR(A81),MONTH(A81),1),"")</x:f>
      </x:c>
      <x:c r="D81" s="44"/>
      <x:c r="E81" s="50"/>
      <x:c r="F81" s="44"/>
      <x:c r="G81" s="72" t="str">
        <x:f>IF(OR(B81="",NOT(ISNUMBER(B81))),"",IFERROR(INDEX(FORDERUNGEN!$B$9:$B$28,MATCH(B81,FORDERUNGEN!$A$9:$A$28,0)),""))</x:f>
      </x:c>
      <x:c r="H81" s="72" t="str">
        <x:f>IF(COUNTA(A81:B81,D81:F81)=0,"",IF(OR(NOT(ISNUMBER(A81)),NOT(ISNUMBER(B81)),NOT(ISNUMBER(E81)),E81&lt;=0,F81="",G81=""),"PRÜFEN",IF(IFERROR(INDEX(FORDERUNGEN!$K$9:$K$28,MATCH(B81,FORDERUNGEN!$A$9:$A$28,0)),"")&lt;&gt;"OK","FORDERUNG NICHT IM PLAN",IF(OR(C81&lt;STEUERUNG!$B$7,C81&gt;EDATE(STEUERUNG!$B$7,71)),"AUSSERHALB HORIZONT","OK"))))</x:f>
      </x:c>
      <x:c r="I81" s="44"/>
    </x:row>
    <x:row r="82" ht="21" customHeight="1">
      <x:c r="A82" s="78"/>
      <x:c r="B82" s="44"/>
      <x:c r="C82" s="80" t="str">
        <x:f>IF(ISNUMBER(A82),DATE(YEAR(A82),MONTH(A82),1),"")</x:f>
      </x:c>
      <x:c r="D82" s="44"/>
      <x:c r="E82" s="50"/>
      <x:c r="F82" s="44"/>
      <x:c r="G82" s="72" t="str">
        <x:f>IF(OR(B82="",NOT(ISNUMBER(B82))),"",IFERROR(INDEX(FORDERUNGEN!$B$9:$B$28,MATCH(B82,FORDERUNGEN!$A$9:$A$28,0)),""))</x:f>
      </x:c>
      <x:c r="H82" s="72" t="str">
        <x:f>IF(COUNTA(A82:B82,D82:F82)=0,"",IF(OR(NOT(ISNUMBER(A82)),NOT(ISNUMBER(B82)),NOT(ISNUMBER(E82)),E82&lt;=0,F82="",G82=""),"PRÜFEN",IF(IFERROR(INDEX(FORDERUNGEN!$K$9:$K$28,MATCH(B82,FORDERUNGEN!$A$9:$A$28,0)),"")&lt;&gt;"OK","FORDERUNG NICHT IM PLAN",IF(OR(C82&lt;STEUERUNG!$B$7,C82&gt;EDATE(STEUERUNG!$B$7,71)),"AUSSERHALB HORIZONT","OK"))))</x:f>
      </x:c>
      <x:c r="I82" s="44"/>
    </x:row>
    <x:row r="83" ht="21" customHeight="1">
      <x:c r="A83" s="78"/>
      <x:c r="B83" s="44"/>
      <x:c r="C83" s="80" t="str">
        <x:f>IF(ISNUMBER(A83),DATE(YEAR(A83),MONTH(A83),1),"")</x:f>
      </x:c>
      <x:c r="D83" s="44"/>
      <x:c r="E83" s="50"/>
      <x:c r="F83" s="44"/>
      <x:c r="G83" s="72" t="str">
        <x:f>IF(OR(B83="",NOT(ISNUMBER(B83))),"",IFERROR(INDEX(FORDERUNGEN!$B$9:$B$28,MATCH(B83,FORDERUNGEN!$A$9:$A$28,0)),""))</x:f>
      </x:c>
      <x:c r="H83" s="72" t="str">
        <x:f>IF(COUNTA(A83:B83,D83:F83)=0,"",IF(OR(NOT(ISNUMBER(A83)),NOT(ISNUMBER(B83)),NOT(ISNUMBER(E83)),E83&lt;=0,F83="",G83=""),"PRÜFEN",IF(IFERROR(INDEX(FORDERUNGEN!$K$9:$K$28,MATCH(B83,FORDERUNGEN!$A$9:$A$28,0)),"")&lt;&gt;"OK","FORDERUNG NICHT IM PLAN",IF(OR(C83&lt;STEUERUNG!$B$7,C83&gt;EDATE(STEUERUNG!$B$7,71)),"AUSSERHALB HORIZONT","OK"))))</x:f>
      </x:c>
      <x:c r="I83" s="44"/>
    </x:row>
    <x:row r="84" ht="21" customHeight="1">
      <x:c r="A84" s="78"/>
      <x:c r="B84" s="44"/>
      <x:c r="C84" s="80" t="str">
        <x:f>IF(ISNUMBER(A84),DATE(YEAR(A84),MONTH(A84),1),"")</x:f>
      </x:c>
      <x:c r="D84" s="44"/>
      <x:c r="E84" s="50"/>
      <x:c r="F84" s="44"/>
      <x:c r="G84" s="72" t="str">
        <x:f>IF(OR(B84="",NOT(ISNUMBER(B84))),"",IFERROR(INDEX(FORDERUNGEN!$B$9:$B$28,MATCH(B84,FORDERUNGEN!$A$9:$A$28,0)),""))</x:f>
      </x:c>
      <x:c r="H84" s="72" t="str">
        <x:f>IF(COUNTA(A84:B84,D84:F84)=0,"",IF(OR(NOT(ISNUMBER(A84)),NOT(ISNUMBER(B84)),NOT(ISNUMBER(E84)),E84&lt;=0,F84="",G84=""),"PRÜFEN",IF(IFERROR(INDEX(FORDERUNGEN!$K$9:$K$28,MATCH(B84,FORDERUNGEN!$A$9:$A$28,0)),"")&lt;&gt;"OK","FORDERUNG NICHT IM PLAN",IF(OR(C84&lt;STEUERUNG!$B$7,C84&gt;EDATE(STEUERUNG!$B$7,71)),"AUSSERHALB HORIZONT","OK"))))</x:f>
      </x:c>
      <x:c r="I84" s="44"/>
    </x:row>
    <x:row r="85" ht="21" customHeight="1">
      <x:c r="A85" s="78"/>
      <x:c r="B85" s="44"/>
      <x:c r="C85" s="80" t="str">
        <x:f>IF(ISNUMBER(A85),DATE(YEAR(A85),MONTH(A85),1),"")</x:f>
      </x:c>
      <x:c r="D85" s="44"/>
      <x:c r="E85" s="50"/>
      <x:c r="F85" s="44"/>
      <x:c r="G85" s="72" t="str">
        <x:f>IF(OR(B85="",NOT(ISNUMBER(B85))),"",IFERROR(INDEX(FORDERUNGEN!$B$9:$B$28,MATCH(B85,FORDERUNGEN!$A$9:$A$28,0)),""))</x:f>
      </x:c>
      <x:c r="H85" s="72" t="str">
        <x:f>IF(COUNTA(A85:B85,D85:F85)=0,"",IF(OR(NOT(ISNUMBER(A85)),NOT(ISNUMBER(B85)),NOT(ISNUMBER(E85)),E85&lt;=0,F85="",G85=""),"PRÜFEN",IF(IFERROR(INDEX(FORDERUNGEN!$K$9:$K$28,MATCH(B85,FORDERUNGEN!$A$9:$A$28,0)),"")&lt;&gt;"OK","FORDERUNG NICHT IM PLAN",IF(OR(C85&lt;STEUERUNG!$B$7,C85&gt;EDATE(STEUERUNG!$B$7,71)),"AUSSERHALB HORIZONT","OK"))))</x:f>
      </x:c>
      <x:c r="I85" s="44"/>
    </x:row>
    <x:row r="86" ht="21" customHeight="1">
      <x:c r="A86" s="78"/>
      <x:c r="B86" s="44"/>
      <x:c r="C86" s="80" t="str">
        <x:f>IF(ISNUMBER(A86),DATE(YEAR(A86),MONTH(A86),1),"")</x:f>
      </x:c>
      <x:c r="D86" s="44"/>
      <x:c r="E86" s="50"/>
      <x:c r="F86" s="44"/>
      <x:c r="G86" s="72" t="str">
        <x:f>IF(OR(B86="",NOT(ISNUMBER(B86))),"",IFERROR(INDEX(FORDERUNGEN!$B$9:$B$28,MATCH(B86,FORDERUNGEN!$A$9:$A$28,0)),""))</x:f>
      </x:c>
      <x:c r="H86" s="72" t="str">
        <x:f>IF(COUNTA(A86:B86,D86:F86)=0,"",IF(OR(NOT(ISNUMBER(A86)),NOT(ISNUMBER(B86)),NOT(ISNUMBER(E86)),E86&lt;=0,F86="",G86=""),"PRÜFEN",IF(IFERROR(INDEX(FORDERUNGEN!$K$9:$K$28,MATCH(B86,FORDERUNGEN!$A$9:$A$28,0)),"")&lt;&gt;"OK","FORDERUNG NICHT IM PLAN",IF(OR(C86&lt;STEUERUNG!$B$7,C86&gt;EDATE(STEUERUNG!$B$7,71)),"AUSSERHALB HORIZONT","OK"))))</x:f>
      </x:c>
      <x:c r="I86" s="44"/>
    </x:row>
    <x:row r="87" ht="21" customHeight="1">
      <x:c r="A87" s="78"/>
      <x:c r="B87" s="44"/>
      <x:c r="C87" s="80" t="str">
        <x:f>IF(ISNUMBER(A87),DATE(YEAR(A87),MONTH(A87),1),"")</x:f>
      </x:c>
      <x:c r="D87" s="44"/>
      <x:c r="E87" s="50"/>
      <x:c r="F87" s="44"/>
      <x:c r="G87" s="72" t="str">
        <x:f>IF(OR(B87="",NOT(ISNUMBER(B87))),"",IFERROR(INDEX(FORDERUNGEN!$B$9:$B$28,MATCH(B87,FORDERUNGEN!$A$9:$A$28,0)),""))</x:f>
      </x:c>
      <x:c r="H87" s="72" t="str">
        <x:f>IF(COUNTA(A87:B87,D87:F87)=0,"",IF(OR(NOT(ISNUMBER(A87)),NOT(ISNUMBER(B87)),NOT(ISNUMBER(E87)),E87&lt;=0,F87="",G87=""),"PRÜFEN",IF(IFERROR(INDEX(FORDERUNGEN!$K$9:$K$28,MATCH(B87,FORDERUNGEN!$A$9:$A$28,0)),"")&lt;&gt;"OK","FORDERUNG NICHT IM PLAN",IF(OR(C87&lt;STEUERUNG!$B$7,C87&gt;EDATE(STEUERUNG!$B$7,71)),"AUSSERHALB HORIZONT","OK"))))</x:f>
      </x:c>
      <x:c r="I87" s="44"/>
    </x:row>
    <x:row r="88" ht="21" customHeight="1">
      <x:c r="A88" s="78"/>
      <x:c r="B88" s="44"/>
      <x:c r="C88" s="80" t="str">
        <x:f>IF(ISNUMBER(A88),DATE(YEAR(A88),MONTH(A88),1),"")</x:f>
      </x:c>
      <x:c r="D88" s="44"/>
      <x:c r="E88" s="50"/>
      <x:c r="F88" s="44"/>
      <x:c r="G88" s="72" t="str">
        <x:f>IF(OR(B88="",NOT(ISNUMBER(B88))),"",IFERROR(INDEX(FORDERUNGEN!$B$9:$B$28,MATCH(B88,FORDERUNGEN!$A$9:$A$28,0)),""))</x:f>
      </x:c>
      <x:c r="H88" s="72" t="str">
        <x:f>IF(COUNTA(A88:B88,D88:F88)=0,"",IF(OR(NOT(ISNUMBER(A88)),NOT(ISNUMBER(B88)),NOT(ISNUMBER(E88)),E88&lt;=0,F88="",G88=""),"PRÜFEN",IF(IFERROR(INDEX(FORDERUNGEN!$K$9:$K$28,MATCH(B88,FORDERUNGEN!$A$9:$A$28,0)),"")&lt;&gt;"OK","FORDERUNG NICHT IM PLAN",IF(OR(C88&lt;STEUERUNG!$B$7,C88&gt;EDATE(STEUERUNG!$B$7,71)),"AUSSERHALB HORIZONT","OK"))))</x:f>
      </x:c>
      <x:c r="I88" s="44"/>
    </x:row>
    <x:row r="89" ht="21" customHeight="1">
      <x:c r="A89" s="78"/>
      <x:c r="B89" s="44"/>
      <x:c r="C89" s="80" t="str">
        <x:f>IF(ISNUMBER(A89),DATE(YEAR(A89),MONTH(A89),1),"")</x:f>
      </x:c>
      <x:c r="D89" s="44"/>
      <x:c r="E89" s="50"/>
      <x:c r="F89" s="44"/>
      <x:c r="G89" s="72" t="str">
        <x:f>IF(OR(B89="",NOT(ISNUMBER(B89))),"",IFERROR(INDEX(FORDERUNGEN!$B$9:$B$28,MATCH(B89,FORDERUNGEN!$A$9:$A$28,0)),""))</x:f>
      </x:c>
      <x:c r="H89" s="72" t="str">
        <x:f>IF(COUNTA(A89:B89,D89:F89)=0,"",IF(OR(NOT(ISNUMBER(A89)),NOT(ISNUMBER(B89)),NOT(ISNUMBER(E89)),E89&lt;=0,F89="",G89=""),"PRÜFEN",IF(IFERROR(INDEX(FORDERUNGEN!$K$9:$K$28,MATCH(B89,FORDERUNGEN!$A$9:$A$28,0)),"")&lt;&gt;"OK","FORDERUNG NICHT IM PLAN",IF(OR(C89&lt;STEUERUNG!$B$7,C89&gt;EDATE(STEUERUNG!$B$7,71)),"AUSSERHALB HORIZONT","OK"))))</x:f>
      </x:c>
      <x:c r="I89" s="44"/>
    </x:row>
    <x:row r="90" ht="21" customHeight="1">
      <x:c r="A90" s="78"/>
      <x:c r="B90" s="44"/>
      <x:c r="C90" s="80" t="str">
        <x:f>IF(ISNUMBER(A90),DATE(YEAR(A90),MONTH(A90),1),"")</x:f>
      </x:c>
      <x:c r="D90" s="44"/>
      <x:c r="E90" s="50"/>
      <x:c r="F90" s="44"/>
      <x:c r="G90" s="72" t="str">
        <x:f>IF(OR(B90="",NOT(ISNUMBER(B90))),"",IFERROR(INDEX(FORDERUNGEN!$B$9:$B$28,MATCH(B90,FORDERUNGEN!$A$9:$A$28,0)),""))</x:f>
      </x:c>
      <x:c r="H90" s="72" t="str">
        <x:f>IF(COUNTA(A90:B90,D90:F90)=0,"",IF(OR(NOT(ISNUMBER(A90)),NOT(ISNUMBER(B90)),NOT(ISNUMBER(E90)),E90&lt;=0,F90="",G90=""),"PRÜFEN",IF(IFERROR(INDEX(FORDERUNGEN!$K$9:$K$28,MATCH(B90,FORDERUNGEN!$A$9:$A$28,0)),"")&lt;&gt;"OK","FORDERUNG NICHT IM PLAN",IF(OR(C90&lt;STEUERUNG!$B$7,C90&gt;EDATE(STEUERUNG!$B$7,71)),"AUSSERHALB HORIZONT","OK"))))</x:f>
      </x:c>
      <x:c r="I90" s="44"/>
    </x:row>
    <x:row r="91" ht="21" customHeight="1">
      <x:c r="A91" s="78"/>
      <x:c r="B91" s="44"/>
      <x:c r="C91" s="80" t="str">
        <x:f>IF(ISNUMBER(A91),DATE(YEAR(A91),MONTH(A91),1),"")</x:f>
      </x:c>
      <x:c r="D91" s="44"/>
      <x:c r="E91" s="50"/>
      <x:c r="F91" s="44"/>
      <x:c r="G91" s="72" t="str">
        <x:f>IF(OR(B91="",NOT(ISNUMBER(B91))),"",IFERROR(INDEX(FORDERUNGEN!$B$9:$B$28,MATCH(B91,FORDERUNGEN!$A$9:$A$28,0)),""))</x:f>
      </x:c>
      <x:c r="H91" s="72" t="str">
        <x:f>IF(COUNTA(A91:B91,D91:F91)=0,"",IF(OR(NOT(ISNUMBER(A91)),NOT(ISNUMBER(B91)),NOT(ISNUMBER(E91)),E91&lt;=0,F91="",G91=""),"PRÜFEN",IF(IFERROR(INDEX(FORDERUNGEN!$K$9:$K$28,MATCH(B91,FORDERUNGEN!$A$9:$A$28,0)),"")&lt;&gt;"OK","FORDERUNG NICHT IM PLAN",IF(OR(C91&lt;STEUERUNG!$B$7,C91&gt;EDATE(STEUERUNG!$B$7,71)),"AUSSERHALB HORIZONT","OK"))))</x:f>
      </x:c>
      <x:c r="I91" s="44"/>
    </x:row>
    <x:row r="92" ht="21" customHeight="1">
      <x:c r="A92" s="78"/>
      <x:c r="B92" s="44"/>
      <x:c r="C92" s="80" t="str">
        <x:f>IF(ISNUMBER(A92),DATE(YEAR(A92),MONTH(A92),1),"")</x:f>
      </x:c>
      <x:c r="D92" s="44"/>
      <x:c r="E92" s="50"/>
      <x:c r="F92" s="44"/>
      <x:c r="G92" s="72" t="str">
        <x:f>IF(OR(B92="",NOT(ISNUMBER(B92))),"",IFERROR(INDEX(FORDERUNGEN!$B$9:$B$28,MATCH(B92,FORDERUNGEN!$A$9:$A$28,0)),""))</x:f>
      </x:c>
      <x:c r="H92" s="72" t="str">
        <x:f>IF(COUNTA(A92:B92,D92:F92)=0,"",IF(OR(NOT(ISNUMBER(A92)),NOT(ISNUMBER(B92)),NOT(ISNUMBER(E92)),E92&lt;=0,F92="",G92=""),"PRÜFEN",IF(IFERROR(INDEX(FORDERUNGEN!$K$9:$K$28,MATCH(B92,FORDERUNGEN!$A$9:$A$28,0)),"")&lt;&gt;"OK","FORDERUNG NICHT IM PLAN",IF(OR(C92&lt;STEUERUNG!$B$7,C92&gt;EDATE(STEUERUNG!$B$7,71)),"AUSSERHALB HORIZONT","OK"))))</x:f>
      </x:c>
      <x:c r="I92" s="44"/>
    </x:row>
    <x:row r="93" ht="21" customHeight="1">
      <x:c r="A93" s="78"/>
      <x:c r="B93" s="44"/>
      <x:c r="C93" s="80" t="str">
        <x:f>IF(ISNUMBER(A93),DATE(YEAR(A93),MONTH(A93),1),"")</x:f>
      </x:c>
      <x:c r="D93" s="44"/>
      <x:c r="E93" s="50"/>
      <x:c r="F93" s="44"/>
      <x:c r="G93" s="72" t="str">
        <x:f>IF(OR(B93="",NOT(ISNUMBER(B93))),"",IFERROR(INDEX(FORDERUNGEN!$B$9:$B$28,MATCH(B93,FORDERUNGEN!$A$9:$A$28,0)),""))</x:f>
      </x:c>
      <x:c r="H93" s="72" t="str">
        <x:f>IF(COUNTA(A93:B93,D93:F93)=0,"",IF(OR(NOT(ISNUMBER(A93)),NOT(ISNUMBER(B93)),NOT(ISNUMBER(E93)),E93&lt;=0,F93="",G93=""),"PRÜFEN",IF(IFERROR(INDEX(FORDERUNGEN!$K$9:$K$28,MATCH(B93,FORDERUNGEN!$A$9:$A$28,0)),"")&lt;&gt;"OK","FORDERUNG NICHT IM PLAN",IF(OR(C93&lt;STEUERUNG!$B$7,C93&gt;EDATE(STEUERUNG!$B$7,71)),"AUSSERHALB HORIZONT","OK"))))</x:f>
      </x:c>
      <x:c r="I93" s="44"/>
    </x:row>
    <x:row r="94" ht="21" customHeight="1">
      <x:c r="A94" s="78"/>
      <x:c r="B94" s="44"/>
      <x:c r="C94" s="80" t="str">
        <x:f>IF(ISNUMBER(A94),DATE(YEAR(A94),MONTH(A94),1),"")</x:f>
      </x:c>
      <x:c r="D94" s="44"/>
      <x:c r="E94" s="50"/>
      <x:c r="F94" s="44"/>
      <x:c r="G94" s="72" t="str">
        <x:f>IF(OR(B94="",NOT(ISNUMBER(B94))),"",IFERROR(INDEX(FORDERUNGEN!$B$9:$B$28,MATCH(B94,FORDERUNGEN!$A$9:$A$28,0)),""))</x:f>
      </x:c>
      <x:c r="H94" s="72" t="str">
        <x:f>IF(COUNTA(A94:B94,D94:F94)=0,"",IF(OR(NOT(ISNUMBER(A94)),NOT(ISNUMBER(B94)),NOT(ISNUMBER(E94)),E94&lt;=0,F94="",G94=""),"PRÜFEN",IF(IFERROR(INDEX(FORDERUNGEN!$K$9:$K$28,MATCH(B94,FORDERUNGEN!$A$9:$A$28,0)),"")&lt;&gt;"OK","FORDERUNG NICHT IM PLAN",IF(OR(C94&lt;STEUERUNG!$B$7,C94&gt;EDATE(STEUERUNG!$B$7,71)),"AUSSERHALB HORIZONT","OK"))))</x:f>
      </x:c>
      <x:c r="I94" s="44"/>
    </x:row>
    <x:row r="95" ht="21" customHeight="1">
      <x:c r="A95" s="78"/>
      <x:c r="B95" s="44"/>
      <x:c r="C95" s="80" t="str">
        <x:f>IF(ISNUMBER(A95),DATE(YEAR(A95),MONTH(A95),1),"")</x:f>
      </x:c>
      <x:c r="D95" s="44"/>
      <x:c r="E95" s="50"/>
      <x:c r="F95" s="44"/>
      <x:c r="G95" s="72" t="str">
        <x:f>IF(OR(B95="",NOT(ISNUMBER(B95))),"",IFERROR(INDEX(FORDERUNGEN!$B$9:$B$28,MATCH(B95,FORDERUNGEN!$A$9:$A$28,0)),""))</x:f>
      </x:c>
      <x:c r="H95" s="72" t="str">
        <x:f>IF(COUNTA(A95:B95,D95:F95)=0,"",IF(OR(NOT(ISNUMBER(A95)),NOT(ISNUMBER(B95)),NOT(ISNUMBER(E95)),E95&lt;=0,F95="",G95=""),"PRÜFEN",IF(IFERROR(INDEX(FORDERUNGEN!$K$9:$K$28,MATCH(B95,FORDERUNGEN!$A$9:$A$28,0)),"")&lt;&gt;"OK","FORDERUNG NICHT IM PLAN",IF(OR(C95&lt;STEUERUNG!$B$7,C95&gt;EDATE(STEUERUNG!$B$7,71)),"AUSSERHALB HORIZONT","OK"))))</x:f>
      </x:c>
      <x:c r="I95" s="44"/>
    </x:row>
    <x:row r="96" ht="21" customHeight="1">
      <x:c r="A96" s="78"/>
      <x:c r="B96" s="44"/>
      <x:c r="C96" s="80" t="str">
        <x:f>IF(ISNUMBER(A96),DATE(YEAR(A96),MONTH(A96),1),"")</x:f>
      </x:c>
      <x:c r="D96" s="44"/>
      <x:c r="E96" s="50"/>
      <x:c r="F96" s="44"/>
      <x:c r="G96" s="72" t="str">
        <x:f>IF(OR(B96="",NOT(ISNUMBER(B96))),"",IFERROR(INDEX(FORDERUNGEN!$B$9:$B$28,MATCH(B96,FORDERUNGEN!$A$9:$A$28,0)),""))</x:f>
      </x:c>
      <x:c r="H96" s="72" t="str">
        <x:f>IF(COUNTA(A96:B96,D96:F96)=0,"",IF(OR(NOT(ISNUMBER(A96)),NOT(ISNUMBER(B96)),NOT(ISNUMBER(E96)),E96&lt;=0,F96="",G96=""),"PRÜFEN",IF(IFERROR(INDEX(FORDERUNGEN!$K$9:$K$28,MATCH(B96,FORDERUNGEN!$A$9:$A$28,0)),"")&lt;&gt;"OK","FORDERUNG NICHT IM PLAN",IF(OR(C96&lt;STEUERUNG!$B$7,C96&gt;EDATE(STEUERUNG!$B$7,71)),"AUSSERHALB HORIZONT","OK"))))</x:f>
      </x:c>
      <x:c r="I96" s="44"/>
    </x:row>
    <x:row r="97" ht="21" customHeight="1">
      <x:c r="A97" s="78"/>
      <x:c r="B97" s="44"/>
      <x:c r="C97" s="80" t="str">
        <x:f>IF(ISNUMBER(A97),DATE(YEAR(A97),MONTH(A97),1),"")</x:f>
      </x:c>
      <x:c r="D97" s="44"/>
      <x:c r="E97" s="50"/>
      <x:c r="F97" s="44"/>
      <x:c r="G97" s="72" t="str">
        <x:f>IF(OR(B97="",NOT(ISNUMBER(B97))),"",IFERROR(INDEX(FORDERUNGEN!$B$9:$B$28,MATCH(B97,FORDERUNGEN!$A$9:$A$28,0)),""))</x:f>
      </x:c>
      <x:c r="H97" s="72" t="str">
        <x:f>IF(COUNTA(A97:B97,D97:F97)=0,"",IF(OR(NOT(ISNUMBER(A97)),NOT(ISNUMBER(B97)),NOT(ISNUMBER(E97)),E97&lt;=0,F97="",G97=""),"PRÜFEN",IF(IFERROR(INDEX(FORDERUNGEN!$K$9:$K$28,MATCH(B97,FORDERUNGEN!$A$9:$A$28,0)),"")&lt;&gt;"OK","FORDERUNG NICHT IM PLAN",IF(OR(C97&lt;STEUERUNG!$B$7,C97&gt;EDATE(STEUERUNG!$B$7,71)),"AUSSERHALB HORIZONT","OK"))))</x:f>
      </x:c>
      <x:c r="I97" s="44"/>
    </x:row>
    <x:row r="98" ht="21" customHeight="1">
      <x:c r="A98" s="78"/>
      <x:c r="B98" s="44"/>
      <x:c r="C98" s="80" t="str">
        <x:f>IF(ISNUMBER(A98),DATE(YEAR(A98),MONTH(A98),1),"")</x:f>
      </x:c>
      <x:c r="D98" s="44"/>
      <x:c r="E98" s="50"/>
      <x:c r="F98" s="44"/>
      <x:c r="G98" s="72" t="str">
        <x:f>IF(OR(B98="",NOT(ISNUMBER(B98))),"",IFERROR(INDEX(FORDERUNGEN!$B$9:$B$28,MATCH(B98,FORDERUNGEN!$A$9:$A$28,0)),""))</x:f>
      </x:c>
      <x:c r="H98" s="72" t="str">
        <x:f>IF(COUNTA(A98:B98,D98:F98)=0,"",IF(OR(NOT(ISNUMBER(A98)),NOT(ISNUMBER(B98)),NOT(ISNUMBER(E98)),E98&lt;=0,F98="",G98=""),"PRÜFEN",IF(IFERROR(INDEX(FORDERUNGEN!$K$9:$K$28,MATCH(B98,FORDERUNGEN!$A$9:$A$28,0)),"")&lt;&gt;"OK","FORDERUNG NICHT IM PLAN",IF(OR(C98&lt;STEUERUNG!$B$7,C98&gt;EDATE(STEUERUNG!$B$7,71)),"AUSSERHALB HORIZONT","OK"))))</x:f>
      </x:c>
      <x:c r="I98" s="44"/>
    </x:row>
    <x:row r="99" ht="21" customHeight="1">
      <x:c r="A99" s="78"/>
      <x:c r="B99" s="44"/>
      <x:c r="C99" s="80" t="str">
        <x:f>IF(ISNUMBER(A99),DATE(YEAR(A99),MONTH(A99),1),"")</x:f>
      </x:c>
      <x:c r="D99" s="44"/>
      <x:c r="E99" s="50"/>
      <x:c r="F99" s="44"/>
      <x:c r="G99" s="72" t="str">
        <x:f>IF(OR(B99="",NOT(ISNUMBER(B99))),"",IFERROR(INDEX(FORDERUNGEN!$B$9:$B$28,MATCH(B99,FORDERUNGEN!$A$9:$A$28,0)),""))</x:f>
      </x:c>
      <x:c r="H99" s="72" t="str">
        <x:f>IF(COUNTA(A99:B99,D99:F99)=0,"",IF(OR(NOT(ISNUMBER(A99)),NOT(ISNUMBER(B99)),NOT(ISNUMBER(E99)),E99&lt;=0,F99="",G99=""),"PRÜFEN",IF(IFERROR(INDEX(FORDERUNGEN!$K$9:$K$28,MATCH(B99,FORDERUNGEN!$A$9:$A$28,0)),"")&lt;&gt;"OK","FORDERUNG NICHT IM PLAN",IF(OR(C99&lt;STEUERUNG!$B$7,C99&gt;EDATE(STEUERUNG!$B$7,71)),"AUSSERHALB HORIZONT","OK"))))</x:f>
      </x:c>
      <x:c r="I99" s="44"/>
    </x:row>
    <x:row r="100" ht="21" customHeight="1">
      <x:c r="A100" s="78"/>
      <x:c r="B100" s="44"/>
      <x:c r="C100" s="80" t="str">
        <x:f>IF(ISNUMBER(A100),DATE(YEAR(A100),MONTH(A100),1),"")</x:f>
      </x:c>
      <x:c r="D100" s="44"/>
      <x:c r="E100" s="50"/>
      <x:c r="F100" s="44"/>
      <x:c r="G100" s="72" t="str">
        <x:f>IF(OR(B100="",NOT(ISNUMBER(B100))),"",IFERROR(INDEX(FORDERUNGEN!$B$9:$B$28,MATCH(B100,FORDERUNGEN!$A$9:$A$28,0)),""))</x:f>
      </x:c>
      <x:c r="H100" s="72" t="str">
        <x:f>IF(COUNTA(A100:B100,D100:F100)=0,"",IF(OR(NOT(ISNUMBER(A100)),NOT(ISNUMBER(B100)),NOT(ISNUMBER(E100)),E100&lt;=0,F100="",G100=""),"PRÜFEN",IF(IFERROR(INDEX(FORDERUNGEN!$K$9:$K$28,MATCH(B100,FORDERUNGEN!$A$9:$A$28,0)),"")&lt;&gt;"OK","FORDERUNG NICHT IM PLAN",IF(OR(C100&lt;STEUERUNG!$B$7,C100&gt;EDATE(STEUERUNG!$B$7,71)),"AUSSERHALB HORIZONT","OK"))))</x:f>
      </x:c>
      <x:c r="I100" s="44"/>
    </x:row>
    <x:row r="101" ht="21" customHeight="1">
      <x:c r="A101" s="78"/>
      <x:c r="B101" s="44"/>
      <x:c r="C101" s="80" t="str">
        <x:f>IF(ISNUMBER(A101),DATE(YEAR(A101),MONTH(A101),1),"")</x:f>
      </x:c>
      <x:c r="D101" s="44"/>
      <x:c r="E101" s="50"/>
      <x:c r="F101" s="44"/>
      <x:c r="G101" s="72" t="str">
        <x:f>IF(OR(B101="",NOT(ISNUMBER(B101))),"",IFERROR(INDEX(FORDERUNGEN!$B$9:$B$28,MATCH(B101,FORDERUNGEN!$A$9:$A$28,0)),""))</x:f>
      </x:c>
      <x:c r="H101" s="72" t="str">
        <x:f>IF(COUNTA(A101:B101,D101:F101)=0,"",IF(OR(NOT(ISNUMBER(A101)),NOT(ISNUMBER(B101)),NOT(ISNUMBER(E101)),E101&lt;=0,F101="",G101=""),"PRÜFEN",IF(IFERROR(INDEX(FORDERUNGEN!$K$9:$K$28,MATCH(B101,FORDERUNGEN!$A$9:$A$28,0)),"")&lt;&gt;"OK","FORDERUNG NICHT IM PLAN",IF(OR(C101&lt;STEUERUNG!$B$7,C101&gt;EDATE(STEUERUNG!$B$7,71)),"AUSSERHALB HORIZONT","OK"))))</x:f>
      </x:c>
      <x:c r="I101" s="44"/>
    </x:row>
    <x:row r="102" ht="21" customHeight="1">
      <x:c r="A102" s="78"/>
      <x:c r="B102" s="44"/>
      <x:c r="C102" s="80" t="str">
        <x:f>IF(ISNUMBER(A102),DATE(YEAR(A102),MONTH(A102),1),"")</x:f>
      </x:c>
      <x:c r="D102" s="44"/>
      <x:c r="E102" s="50"/>
      <x:c r="F102" s="44"/>
      <x:c r="G102" s="72" t="str">
        <x:f>IF(OR(B102="",NOT(ISNUMBER(B102))),"",IFERROR(INDEX(FORDERUNGEN!$B$9:$B$28,MATCH(B102,FORDERUNGEN!$A$9:$A$28,0)),""))</x:f>
      </x:c>
      <x:c r="H102" s="72" t="str">
        <x:f>IF(COUNTA(A102:B102,D102:F102)=0,"",IF(OR(NOT(ISNUMBER(A102)),NOT(ISNUMBER(B102)),NOT(ISNUMBER(E102)),E102&lt;=0,F102="",G102=""),"PRÜFEN",IF(IFERROR(INDEX(FORDERUNGEN!$K$9:$K$28,MATCH(B102,FORDERUNGEN!$A$9:$A$28,0)),"")&lt;&gt;"OK","FORDERUNG NICHT IM PLAN",IF(OR(C102&lt;STEUERUNG!$B$7,C102&gt;EDATE(STEUERUNG!$B$7,71)),"AUSSERHALB HORIZONT","OK"))))</x:f>
      </x:c>
      <x:c r="I102" s="44"/>
    </x:row>
    <x:row r="103" ht="21" customHeight="1">
      <x:c r="A103" s="78"/>
      <x:c r="B103" s="44"/>
      <x:c r="C103" s="80" t="str">
        <x:f>IF(ISNUMBER(A103),DATE(YEAR(A103),MONTH(A103),1),"")</x:f>
      </x:c>
      <x:c r="D103" s="44"/>
      <x:c r="E103" s="50"/>
      <x:c r="F103" s="44"/>
      <x:c r="G103" s="72" t="str">
        <x:f>IF(OR(B103="",NOT(ISNUMBER(B103))),"",IFERROR(INDEX(FORDERUNGEN!$B$9:$B$28,MATCH(B103,FORDERUNGEN!$A$9:$A$28,0)),""))</x:f>
      </x:c>
      <x:c r="H103" s="72" t="str">
        <x:f>IF(COUNTA(A103:B103,D103:F103)=0,"",IF(OR(NOT(ISNUMBER(A103)),NOT(ISNUMBER(B103)),NOT(ISNUMBER(E103)),E103&lt;=0,F103="",G103=""),"PRÜFEN",IF(IFERROR(INDEX(FORDERUNGEN!$K$9:$K$28,MATCH(B103,FORDERUNGEN!$A$9:$A$28,0)),"")&lt;&gt;"OK","FORDERUNG NICHT IM PLAN",IF(OR(C103&lt;STEUERUNG!$B$7,C103&gt;EDATE(STEUERUNG!$B$7,71)),"AUSSERHALB HORIZONT","OK"))))</x:f>
      </x:c>
      <x:c r="I103" s="44"/>
    </x:row>
    <x:row r="104" ht="21" customHeight="1">
      <x:c r="A104" s="78"/>
      <x:c r="B104" s="44"/>
      <x:c r="C104" s="80" t="str">
        <x:f>IF(ISNUMBER(A104),DATE(YEAR(A104),MONTH(A104),1),"")</x:f>
      </x:c>
      <x:c r="D104" s="44"/>
      <x:c r="E104" s="50"/>
      <x:c r="F104" s="44"/>
      <x:c r="G104" s="72" t="str">
        <x:f>IF(OR(B104="",NOT(ISNUMBER(B104))),"",IFERROR(INDEX(FORDERUNGEN!$B$9:$B$28,MATCH(B104,FORDERUNGEN!$A$9:$A$28,0)),""))</x:f>
      </x:c>
      <x:c r="H104" s="72" t="str">
        <x:f>IF(COUNTA(A104:B104,D104:F104)=0,"",IF(OR(NOT(ISNUMBER(A104)),NOT(ISNUMBER(B104)),NOT(ISNUMBER(E104)),E104&lt;=0,F104="",G104=""),"PRÜFEN",IF(IFERROR(INDEX(FORDERUNGEN!$K$9:$K$28,MATCH(B104,FORDERUNGEN!$A$9:$A$28,0)),"")&lt;&gt;"OK","FORDERUNG NICHT IM PLAN",IF(OR(C104&lt;STEUERUNG!$B$7,C104&gt;EDATE(STEUERUNG!$B$7,71)),"AUSSERHALB HORIZONT","OK"))))</x:f>
      </x:c>
      <x:c r="I104" s="44"/>
    </x:row>
    <x:row r="105" ht="21" customHeight="1">
      <x:c r="A105" s="78"/>
      <x:c r="B105" s="44"/>
      <x:c r="C105" s="80" t="str">
        <x:f>IF(ISNUMBER(A105),DATE(YEAR(A105),MONTH(A105),1),"")</x:f>
      </x:c>
      <x:c r="D105" s="44"/>
      <x:c r="E105" s="50"/>
      <x:c r="F105" s="44"/>
      <x:c r="G105" s="72" t="str">
        <x:f>IF(OR(B105="",NOT(ISNUMBER(B105))),"",IFERROR(INDEX(FORDERUNGEN!$B$9:$B$28,MATCH(B105,FORDERUNGEN!$A$9:$A$28,0)),""))</x:f>
      </x:c>
      <x:c r="H105" s="72" t="str">
        <x:f>IF(COUNTA(A105:B105,D105:F105)=0,"",IF(OR(NOT(ISNUMBER(A105)),NOT(ISNUMBER(B105)),NOT(ISNUMBER(E105)),E105&lt;=0,F105="",G105=""),"PRÜFEN",IF(IFERROR(INDEX(FORDERUNGEN!$K$9:$K$28,MATCH(B105,FORDERUNGEN!$A$9:$A$28,0)),"")&lt;&gt;"OK","FORDERUNG NICHT IM PLAN",IF(OR(C105&lt;STEUERUNG!$B$7,C105&gt;EDATE(STEUERUNG!$B$7,71)),"AUSSERHALB HORIZONT","OK"))))</x:f>
      </x:c>
      <x:c r="I105" s="44"/>
    </x:row>
    <x:row r="106" ht="21" customHeight="1">
      <x:c r="A106" s="78"/>
      <x:c r="B106" s="44"/>
      <x:c r="C106" s="80" t="str">
        <x:f>IF(ISNUMBER(A106),DATE(YEAR(A106),MONTH(A106),1),"")</x:f>
      </x:c>
      <x:c r="D106" s="44"/>
      <x:c r="E106" s="50"/>
      <x:c r="F106" s="44"/>
      <x:c r="G106" s="72" t="str">
        <x:f>IF(OR(B106="",NOT(ISNUMBER(B106))),"",IFERROR(INDEX(FORDERUNGEN!$B$9:$B$28,MATCH(B106,FORDERUNGEN!$A$9:$A$28,0)),""))</x:f>
      </x:c>
      <x:c r="H106" s="72" t="str">
        <x:f>IF(COUNTA(A106:B106,D106:F106)=0,"",IF(OR(NOT(ISNUMBER(A106)),NOT(ISNUMBER(B106)),NOT(ISNUMBER(E106)),E106&lt;=0,F106="",G106=""),"PRÜFEN",IF(IFERROR(INDEX(FORDERUNGEN!$K$9:$K$28,MATCH(B106,FORDERUNGEN!$A$9:$A$28,0)),"")&lt;&gt;"OK","FORDERUNG NICHT IM PLAN",IF(OR(C106&lt;STEUERUNG!$B$7,C106&gt;EDATE(STEUERUNG!$B$7,71)),"AUSSERHALB HORIZONT","OK"))))</x:f>
      </x:c>
      <x:c r="I106" s="44"/>
    </x:row>
    <x:row r="107" ht="21" customHeight="1">
      <x:c r="A107" s="78"/>
      <x:c r="B107" s="44"/>
      <x:c r="C107" s="80" t="str">
        <x:f>IF(ISNUMBER(A107),DATE(YEAR(A107),MONTH(A107),1),"")</x:f>
      </x:c>
      <x:c r="D107" s="44"/>
      <x:c r="E107" s="50"/>
      <x:c r="F107" s="44"/>
      <x:c r="G107" s="72" t="str">
        <x:f>IF(OR(B107="",NOT(ISNUMBER(B107))),"",IFERROR(INDEX(FORDERUNGEN!$B$9:$B$28,MATCH(B107,FORDERUNGEN!$A$9:$A$28,0)),""))</x:f>
      </x:c>
      <x:c r="H107" s="72" t="str">
        <x:f>IF(COUNTA(A107:B107,D107:F107)=0,"",IF(OR(NOT(ISNUMBER(A107)),NOT(ISNUMBER(B107)),NOT(ISNUMBER(E107)),E107&lt;=0,F107="",G107=""),"PRÜFEN",IF(IFERROR(INDEX(FORDERUNGEN!$K$9:$K$28,MATCH(B107,FORDERUNGEN!$A$9:$A$28,0)),"")&lt;&gt;"OK","FORDERUNG NICHT IM PLAN",IF(OR(C107&lt;STEUERUNG!$B$7,C107&gt;EDATE(STEUERUNG!$B$7,71)),"AUSSERHALB HORIZONT","OK"))))</x:f>
      </x:c>
      <x:c r="I107" s="44"/>
    </x:row>
    <x:row r="108" ht="21" customHeight="1">
      <x:c r="A108" s="78"/>
      <x:c r="B108" s="44"/>
      <x:c r="C108" s="80" t="str">
        <x:f>IF(ISNUMBER(A108),DATE(YEAR(A108),MONTH(A108),1),"")</x:f>
      </x:c>
      <x:c r="D108" s="44"/>
      <x:c r="E108" s="50"/>
      <x:c r="F108" s="44"/>
      <x:c r="G108" s="72" t="str">
        <x:f>IF(OR(B108="",NOT(ISNUMBER(B108))),"",IFERROR(INDEX(FORDERUNGEN!$B$9:$B$28,MATCH(B108,FORDERUNGEN!$A$9:$A$28,0)),""))</x:f>
      </x:c>
      <x:c r="H108" s="72" t="str">
        <x:f>IF(COUNTA(A108:B108,D108:F108)=0,"",IF(OR(NOT(ISNUMBER(A108)),NOT(ISNUMBER(B108)),NOT(ISNUMBER(E108)),E108&lt;=0,F108="",G108=""),"PRÜFEN",IF(IFERROR(INDEX(FORDERUNGEN!$K$9:$K$28,MATCH(B108,FORDERUNGEN!$A$9:$A$28,0)),"")&lt;&gt;"OK","FORDERUNG NICHT IM PLAN",IF(OR(C108&lt;STEUERUNG!$B$7,C108&gt;EDATE(STEUERUNG!$B$7,71)),"AUSSERHALB HORIZONT","OK"))))</x:f>
      </x:c>
      <x:c r="I108" s="44"/>
    </x:row>
    <x:row r="109" ht="21" customHeight="1">
      <x:c r="A109" s="78"/>
      <x:c r="B109" s="44"/>
      <x:c r="C109" s="80" t="str">
        <x:f>IF(ISNUMBER(A109),DATE(YEAR(A109),MONTH(A109),1),"")</x:f>
      </x:c>
      <x:c r="D109" s="44"/>
      <x:c r="E109" s="50"/>
      <x:c r="F109" s="44"/>
      <x:c r="G109" s="72" t="str">
        <x:f>IF(OR(B109="",NOT(ISNUMBER(B109))),"",IFERROR(INDEX(FORDERUNGEN!$B$9:$B$28,MATCH(B109,FORDERUNGEN!$A$9:$A$28,0)),""))</x:f>
      </x:c>
      <x:c r="H109" s="72" t="str">
        <x:f>IF(COUNTA(A109:B109,D109:F109)=0,"",IF(OR(NOT(ISNUMBER(A109)),NOT(ISNUMBER(B109)),NOT(ISNUMBER(E109)),E109&lt;=0,F109="",G109=""),"PRÜFEN",IF(IFERROR(INDEX(FORDERUNGEN!$K$9:$K$28,MATCH(B109,FORDERUNGEN!$A$9:$A$28,0)),"")&lt;&gt;"OK","FORDERUNG NICHT IM PLAN",IF(OR(C109&lt;STEUERUNG!$B$7,C109&gt;EDATE(STEUERUNG!$B$7,71)),"AUSSERHALB HORIZONT","OK"))))</x:f>
      </x:c>
      <x:c r="I109" s="44"/>
    </x:row>
    <x:row r="110" ht="21" customHeight="1">
      <x:c r="A110" s="78"/>
      <x:c r="B110" s="44"/>
      <x:c r="C110" s="80" t="str">
        <x:f>IF(ISNUMBER(A110),DATE(YEAR(A110),MONTH(A110),1),"")</x:f>
      </x:c>
      <x:c r="D110" s="44"/>
      <x:c r="E110" s="50"/>
      <x:c r="F110" s="44"/>
      <x:c r="G110" s="72" t="str">
        <x:f>IF(OR(B110="",NOT(ISNUMBER(B110))),"",IFERROR(INDEX(FORDERUNGEN!$B$9:$B$28,MATCH(B110,FORDERUNGEN!$A$9:$A$28,0)),""))</x:f>
      </x:c>
      <x:c r="H110" s="72" t="str">
        <x:f>IF(COUNTA(A110:B110,D110:F110)=0,"",IF(OR(NOT(ISNUMBER(A110)),NOT(ISNUMBER(B110)),NOT(ISNUMBER(E110)),E110&lt;=0,F110="",G110=""),"PRÜFEN",IF(IFERROR(INDEX(FORDERUNGEN!$K$9:$K$28,MATCH(B110,FORDERUNGEN!$A$9:$A$28,0)),"")&lt;&gt;"OK","FORDERUNG NICHT IM PLAN",IF(OR(C110&lt;STEUERUNG!$B$7,C110&gt;EDATE(STEUERUNG!$B$7,71)),"AUSSERHALB HORIZONT","OK"))))</x:f>
      </x:c>
      <x:c r="I110" s="44"/>
    </x:row>
    <x:row r="111" ht="21" customHeight="1">
      <x:c r="A111" s="78"/>
      <x:c r="B111" s="44"/>
      <x:c r="C111" s="80" t="str">
        <x:f>IF(ISNUMBER(A111),DATE(YEAR(A111),MONTH(A111),1),"")</x:f>
      </x:c>
      <x:c r="D111" s="44"/>
      <x:c r="E111" s="50"/>
      <x:c r="F111" s="44"/>
      <x:c r="G111" s="72" t="str">
        <x:f>IF(OR(B111="",NOT(ISNUMBER(B111))),"",IFERROR(INDEX(FORDERUNGEN!$B$9:$B$28,MATCH(B111,FORDERUNGEN!$A$9:$A$28,0)),""))</x:f>
      </x:c>
      <x:c r="H111" s="72" t="str">
        <x:f>IF(COUNTA(A111:B111,D111:F111)=0,"",IF(OR(NOT(ISNUMBER(A111)),NOT(ISNUMBER(B111)),NOT(ISNUMBER(E111)),E111&lt;=0,F111="",G111=""),"PRÜFEN",IF(IFERROR(INDEX(FORDERUNGEN!$K$9:$K$28,MATCH(B111,FORDERUNGEN!$A$9:$A$28,0)),"")&lt;&gt;"OK","FORDERUNG NICHT IM PLAN",IF(OR(C111&lt;STEUERUNG!$B$7,C111&gt;EDATE(STEUERUNG!$B$7,71)),"AUSSERHALB HORIZONT","OK"))))</x:f>
      </x:c>
      <x:c r="I111" s="44"/>
    </x:row>
    <x:row r="112" ht="21" customHeight="1">
      <x:c r="A112" s="78"/>
      <x:c r="B112" s="44"/>
      <x:c r="C112" s="80" t="str">
        <x:f>IF(ISNUMBER(A112),DATE(YEAR(A112),MONTH(A112),1),"")</x:f>
      </x:c>
      <x:c r="D112" s="44"/>
      <x:c r="E112" s="50"/>
      <x:c r="F112" s="44"/>
      <x:c r="G112" s="72" t="str">
        <x:f>IF(OR(B112="",NOT(ISNUMBER(B112))),"",IFERROR(INDEX(FORDERUNGEN!$B$9:$B$28,MATCH(B112,FORDERUNGEN!$A$9:$A$28,0)),""))</x:f>
      </x:c>
      <x:c r="H112" s="72" t="str">
        <x:f>IF(COUNTA(A112:B112,D112:F112)=0,"",IF(OR(NOT(ISNUMBER(A112)),NOT(ISNUMBER(B112)),NOT(ISNUMBER(E112)),E112&lt;=0,F112="",G112=""),"PRÜFEN",IF(IFERROR(INDEX(FORDERUNGEN!$K$9:$K$28,MATCH(B112,FORDERUNGEN!$A$9:$A$28,0)),"")&lt;&gt;"OK","FORDERUNG NICHT IM PLAN",IF(OR(C112&lt;STEUERUNG!$B$7,C112&gt;EDATE(STEUERUNG!$B$7,71)),"AUSSERHALB HORIZONT","OK"))))</x:f>
      </x:c>
      <x:c r="I112" s="44"/>
    </x:row>
    <x:row r="113" ht="21" customHeight="1">
      <x:c r="A113" s="78"/>
      <x:c r="B113" s="44"/>
      <x:c r="C113" s="80" t="str">
        <x:f>IF(ISNUMBER(A113),DATE(YEAR(A113),MONTH(A113),1),"")</x:f>
      </x:c>
      <x:c r="D113" s="44"/>
      <x:c r="E113" s="50"/>
      <x:c r="F113" s="44"/>
      <x:c r="G113" s="72" t="str">
        <x:f>IF(OR(B113="",NOT(ISNUMBER(B113))),"",IFERROR(INDEX(FORDERUNGEN!$B$9:$B$28,MATCH(B113,FORDERUNGEN!$A$9:$A$28,0)),""))</x:f>
      </x:c>
      <x:c r="H113" s="72" t="str">
        <x:f>IF(COUNTA(A113:B113,D113:F113)=0,"",IF(OR(NOT(ISNUMBER(A113)),NOT(ISNUMBER(B113)),NOT(ISNUMBER(E113)),E113&lt;=0,F113="",G113=""),"PRÜFEN",IF(IFERROR(INDEX(FORDERUNGEN!$K$9:$K$28,MATCH(B113,FORDERUNGEN!$A$9:$A$28,0)),"")&lt;&gt;"OK","FORDERUNG NICHT IM PLAN",IF(OR(C113&lt;STEUERUNG!$B$7,C113&gt;EDATE(STEUERUNG!$B$7,71)),"AUSSERHALB HORIZONT","OK"))))</x:f>
      </x:c>
      <x:c r="I113" s="44"/>
    </x:row>
    <x:row r="114" ht="21" customHeight="1">
      <x:c r="A114" s="78"/>
      <x:c r="B114" s="44"/>
      <x:c r="C114" s="80" t="str">
        <x:f>IF(ISNUMBER(A114),DATE(YEAR(A114),MONTH(A114),1),"")</x:f>
      </x:c>
      <x:c r="D114" s="44"/>
      <x:c r="E114" s="50"/>
      <x:c r="F114" s="44"/>
      <x:c r="G114" s="72" t="str">
        <x:f>IF(OR(B114="",NOT(ISNUMBER(B114))),"",IFERROR(INDEX(FORDERUNGEN!$B$9:$B$28,MATCH(B114,FORDERUNGEN!$A$9:$A$28,0)),""))</x:f>
      </x:c>
      <x:c r="H114" s="72" t="str">
        <x:f>IF(COUNTA(A114:B114,D114:F114)=0,"",IF(OR(NOT(ISNUMBER(A114)),NOT(ISNUMBER(B114)),NOT(ISNUMBER(E114)),E114&lt;=0,F114="",G114=""),"PRÜFEN",IF(IFERROR(INDEX(FORDERUNGEN!$K$9:$K$28,MATCH(B114,FORDERUNGEN!$A$9:$A$28,0)),"")&lt;&gt;"OK","FORDERUNG NICHT IM PLAN",IF(OR(C114&lt;STEUERUNG!$B$7,C114&gt;EDATE(STEUERUNG!$B$7,71)),"AUSSERHALB HORIZONT","OK"))))</x:f>
      </x:c>
      <x:c r="I114" s="44"/>
    </x:row>
    <x:row r="115" ht="21" customHeight="1">
      <x:c r="A115" s="78"/>
      <x:c r="B115" s="44"/>
      <x:c r="C115" s="80" t="str">
        <x:f>IF(ISNUMBER(A115),DATE(YEAR(A115),MONTH(A115),1),"")</x:f>
      </x:c>
      <x:c r="D115" s="44"/>
      <x:c r="E115" s="50"/>
      <x:c r="F115" s="44"/>
      <x:c r="G115" s="72" t="str">
        <x:f>IF(OR(B115="",NOT(ISNUMBER(B115))),"",IFERROR(INDEX(FORDERUNGEN!$B$9:$B$28,MATCH(B115,FORDERUNGEN!$A$9:$A$28,0)),""))</x:f>
      </x:c>
      <x:c r="H115" s="72" t="str">
        <x:f>IF(COUNTA(A115:B115,D115:F115)=0,"",IF(OR(NOT(ISNUMBER(A115)),NOT(ISNUMBER(B115)),NOT(ISNUMBER(E115)),E115&lt;=0,F115="",G115=""),"PRÜFEN",IF(IFERROR(INDEX(FORDERUNGEN!$K$9:$K$28,MATCH(B115,FORDERUNGEN!$A$9:$A$28,0)),"")&lt;&gt;"OK","FORDERUNG NICHT IM PLAN",IF(OR(C115&lt;STEUERUNG!$B$7,C115&gt;EDATE(STEUERUNG!$B$7,71)),"AUSSERHALB HORIZONT","OK"))))</x:f>
      </x:c>
      <x:c r="I115" s="44"/>
    </x:row>
    <x:row r="116">
      <x:c r="A116" s="78"/>
      <x:c r="B116" s="44"/>
      <x:c r="C116" s="80" t="str">
        <x:f>IF(ISNUMBER(A116),DATE(YEAR(A116),MONTH(A116),1),"")</x:f>
      </x:c>
      <x:c r="D116" s="44"/>
      <x:c r="E116" s="50"/>
      <x:c r="F116" s="44"/>
      <x:c r="G116" s="72" t="str">
        <x:f>IF(OR(B116="",NOT(ISNUMBER(B116))),"",IFERROR(INDEX(FORDERUNGEN!$B$9:$B$28,MATCH(B116,FORDERUNGEN!$A$9:$A$28,0)),""))</x:f>
      </x:c>
      <x:c r="H116" s="72" t="str">
        <x:f>IF(COUNTA(A116:B116,D116:F116)=0,"",IF(OR(NOT(ISNUMBER(A116)),NOT(ISNUMBER(B116)),NOT(ISNUMBER(E116)),E116&lt;=0,F116="",G116=""),"PRÜFEN",IF(IFERROR(INDEX(FORDERUNGEN!$K$9:$K$28,MATCH(B116,FORDERUNGEN!$A$9:$A$28,0)),"")&lt;&gt;"OK","FORDERUNG NICHT IM PLAN",IF(OR(C116&lt;STEUERUNG!$B$7,C116&gt;EDATE(STEUERUNG!$B$7,71)),"AUSSERHALB HORIZONT","OK"))))</x:f>
      </x:c>
      <x:c r="I116" s="44"/>
    </x:row>
    <x:row r="117">
      <x:c r="A117" s="78"/>
      <x:c r="B117" s="44"/>
      <x:c r="C117" s="80" t="str">
        <x:f>IF(ISNUMBER(A117),DATE(YEAR(A117),MONTH(A117),1),"")</x:f>
      </x:c>
      <x:c r="D117" s="44"/>
      <x:c r="E117" s="50"/>
      <x:c r="F117" s="44"/>
      <x:c r="G117" s="72" t="str">
        <x:f>IF(OR(B117="",NOT(ISNUMBER(B117))),"",IFERROR(INDEX(FORDERUNGEN!$B$9:$B$28,MATCH(B117,FORDERUNGEN!$A$9:$A$28,0)),""))</x:f>
      </x:c>
      <x:c r="H117" s="72" t="str">
        <x:f>IF(COUNTA(A117:B117,D117:F117)=0,"",IF(OR(NOT(ISNUMBER(A117)),NOT(ISNUMBER(B117)),NOT(ISNUMBER(E117)),E117&lt;=0,F117="",G117=""),"PRÜFEN",IF(IFERROR(INDEX(FORDERUNGEN!$K$9:$K$28,MATCH(B117,FORDERUNGEN!$A$9:$A$28,0)),"")&lt;&gt;"OK","FORDERUNG NICHT IM PLAN",IF(OR(C117&lt;STEUERUNG!$B$7,C117&gt;EDATE(STEUERUNG!$B$7,71)),"AUSSERHALB HORIZONT","OK"))))</x:f>
      </x:c>
      <x:c r="I117" s="44"/>
    </x:row>
    <x:row r="118">
      <x:c r="A118" s="78"/>
      <x:c r="B118" s="44"/>
      <x:c r="C118" s="80" t="str">
        <x:f>IF(ISNUMBER(A118),DATE(YEAR(A118),MONTH(A118),1),"")</x:f>
      </x:c>
      <x:c r="D118" s="44"/>
      <x:c r="E118" s="50"/>
      <x:c r="F118" s="44"/>
      <x:c r="G118" s="72" t="str">
        <x:f>IF(OR(B118="",NOT(ISNUMBER(B118))),"",IFERROR(INDEX(FORDERUNGEN!$B$9:$B$28,MATCH(B118,FORDERUNGEN!$A$9:$A$28,0)),""))</x:f>
      </x:c>
      <x:c r="H118" s="72" t="str">
        <x:f>IF(COUNTA(A118:B118,D118:F118)=0,"",IF(OR(NOT(ISNUMBER(A118)),NOT(ISNUMBER(B118)),NOT(ISNUMBER(E118)),E118&lt;=0,F118="",G118=""),"PRÜFEN",IF(IFERROR(INDEX(FORDERUNGEN!$K$9:$K$28,MATCH(B118,FORDERUNGEN!$A$9:$A$28,0)),"")&lt;&gt;"OK","FORDERUNG NICHT IM PLAN",IF(OR(C118&lt;STEUERUNG!$B$7,C118&gt;EDATE(STEUERUNG!$B$7,71)),"AUSSERHALB HORIZONT","OK"))))</x:f>
      </x:c>
      <x:c r="I118" s="44"/>
    </x:row>
    <x:row r="119">
      <x:c r="A119" s="78"/>
      <x:c r="B119" s="44"/>
      <x:c r="C119" s="80" t="str">
        <x:f>IF(ISNUMBER(A119),DATE(YEAR(A119),MONTH(A119),1),"")</x:f>
      </x:c>
      <x:c r="D119" s="44"/>
      <x:c r="E119" s="50"/>
      <x:c r="F119" s="44"/>
      <x:c r="G119" s="72" t="str">
        <x:f>IF(OR(B119="",NOT(ISNUMBER(B119))),"",IFERROR(INDEX(FORDERUNGEN!$B$9:$B$28,MATCH(B119,FORDERUNGEN!$A$9:$A$28,0)),""))</x:f>
      </x:c>
      <x:c r="H119" s="72" t="str">
        <x:f>IF(COUNTA(A119:B119,D119:F119)=0,"",IF(OR(NOT(ISNUMBER(A119)),NOT(ISNUMBER(B119)),NOT(ISNUMBER(E119)),E119&lt;=0,F119="",G119=""),"PRÜFEN",IF(IFERROR(INDEX(FORDERUNGEN!$K$9:$K$28,MATCH(B119,FORDERUNGEN!$A$9:$A$28,0)),"")&lt;&gt;"OK","FORDERUNG NICHT IM PLAN",IF(OR(C119&lt;STEUERUNG!$B$7,C119&gt;EDATE(STEUERUNG!$B$7,71)),"AUSSERHALB HORIZONT","OK"))))</x:f>
      </x:c>
      <x:c r="I119" s="44"/>
    </x:row>
    <x:row r="120">
      <x:c r="A120" s="78"/>
      <x:c r="B120" s="44"/>
      <x:c r="C120" s="80" t="str">
        <x:f>IF(ISNUMBER(A120),DATE(YEAR(A120),MONTH(A120),1),"")</x:f>
      </x:c>
      <x:c r="D120" s="44"/>
      <x:c r="E120" s="50"/>
      <x:c r="F120" s="44"/>
      <x:c r="G120" s="72" t="str">
        <x:f>IF(OR(B120="",NOT(ISNUMBER(B120))),"",IFERROR(INDEX(FORDERUNGEN!$B$9:$B$28,MATCH(B120,FORDERUNGEN!$A$9:$A$28,0)),""))</x:f>
      </x:c>
      <x:c r="H120" s="72" t="str">
        <x:f>IF(COUNTA(A120:B120,D120:F120)=0,"",IF(OR(NOT(ISNUMBER(A120)),NOT(ISNUMBER(B120)),NOT(ISNUMBER(E120)),E120&lt;=0,F120="",G120=""),"PRÜFEN",IF(IFERROR(INDEX(FORDERUNGEN!$K$9:$K$28,MATCH(B120,FORDERUNGEN!$A$9:$A$28,0)),"")&lt;&gt;"OK","FORDERUNG NICHT IM PLAN",IF(OR(C120&lt;STEUERUNG!$B$7,C120&gt;EDATE(STEUERUNG!$B$7,71)),"AUSSERHALB HORIZONT","OK"))))</x:f>
      </x:c>
      <x:c r="I120" s="44"/>
    </x:row>
    <x:row r="121">
      <x:c r="A121" s="78"/>
      <x:c r="B121" s="44"/>
      <x:c r="C121" s="80" t="str">
        <x:f>IF(ISNUMBER(A121),DATE(YEAR(A121),MONTH(A121),1),"")</x:f>
      </x:c>
      <x:c r="D121" s="44"/>
      <x:c r="E121" s="50"/>
      <x:c r="F121" s="44"/>
      <x:c r="G121" s="72" t="str">
        <x:f>IF(OR(B121="",NOT(ISNUMBER(B121))),"",IFERROR(INDEX(FORDERUNGEN!$B$9:$B$28,MATCH(B121,FORDERUNGEN!$A$9:$A$28,0)),""))</x:f>
      </x:c>
      <x:c r="H121" s="72" t="str">
        <x:f>IF(COUNTA(A121:B121,D121:F121)=0,"",IF(OR(NOT(ISNUMBER(A121)),NOT(ISNUMBER(B121)),NOT(ISNUMBER(E121)),E121&lt;=0,F121="",G121=""),"PRÜFEN",IF(IFERROR(INDEX(FORDERUNGEN!$K$9:$K$28,MATCH(B121,FORDERUNGEN!$A$9:$A$28,0)),"")&lt;&gt;"OK","FORDERUNG NICHT IM PLAN",IF(OR(C121&lt;STEUERUNG!$B$7,C121&gt;EDATE(STEUERUNG!$B$7,71)),"AUSSERHALB HORIZONT","OK"))))</x:f>
      </x:c>
      <x:c r="I121" s="44"/>
    </x:row>
    <x:row r="122">
      <x:c r="A122" s="78"/>
      <x:c r="B122" s="44"/>
      <x:c r="C122" s="80" t="str">
        <x:f>IF(ISNUMBER(A122),DATE(YEAR(A122),MONTH(A122),1),"")</x:f>
      </x:c>
      <x:c r="D122" s="44"/>
      <x:c r="E122" s="50"/>
      <x:c r="F122" s="44"/>
      <x:c r="G122" s="72" t="str">
        <x:f>IF(OR(B122="",NOT(ISNUMBER(B122))),"",IFERROR(INDEX(FORDERUNGEN!$B$9:$B$28,MATCH(B122,FORDERUNGEN!$A$9:$A$28,0)),""))</x:f>
      </x:c>
      <x:c r="H122" s="72" t="str">
        <x:f>IF(COUNTA(A122:B122,D122:F122)=0,"",IF(OR(NOT(ISNUMBER(A122)),NOT(ISNUMBER(B122)),NOT(ISNUMBER(E122)),E122&lt;=0,F122="",G122=""),"PRÜFEN",IF(IFERROR(INDEX(FORDERUNGEN!$K$9:$K$28,MATCH(B122,FORDERUNGEN!$A$9:$A$28,0)),"")&lt;&gt;"OK","FORDERUNG NICHT IM PLAN",IF(OR(C122&lt;STEUERUNG!$B$7,C122&gt;EDATE(STEUERUNG!$B$7,71)),"AUSSERHALB HORIZONT","OK"))))</x:f>
      </x:c>
      <x:c r="I122" s="44"/>
    </x:row>
    <x:row r="123">
      <x:c r="A123" s="78"/>
      <x:c r="B123" s="44"/>
      <x:c r="C123" s="80" t="str">
        <x:f>IF(ISNUMBER(A123),DATE(YEAR(A123),MONTH(A123),1),"")</x:f>
      </x:c>
      <x:c r="D123" s="44"/>
      <x:c r="E123" s="50"/>
      <x:c r="F123" s="44"/>
      <x:c r="G123" s="72" t="str">
        <x:f>IF(OR(B123="",NOT(ISNUMBER(B123))),"",IFERROR(INDEX(FORDERUNGEN!$B$9:$B$28,MATCH(B123,FORDERUNGEN!$A$9:$A$28,0)),""))</x:f>
      </x:c>
      <x:c r="H123" s="72" t="str">
        <x:f>IF(COUNTA(A123:B123,D123:F123)=0,"",IF(OR(NOT(ISNUMBER(A123)),NOT(ISNUMBER(B123)),NOT(ISNUMBER(E123)),E123&lt;=0,F123="",G123=""),"PRÜFEN",IF(IFERROR(INDEX(FORDERUNGEN!$K$9:$K$28,MATCH(B123,FORDERUNGEN!$A$9:$A$28,0)),"")&lt;&gt;"OK","FORDERUNG NICHT IM PLAN",IF(OR(C123&lt;STEUERUNG!$B$7,C123&gt;EDATE(STEUERUNG!$B$7,71)),"AUSSERHALB HORIZONT","OK"))))</x:f>
      </x:c>
      <x:c r="I123" s="44"/>
    </x:row>
    <x:row r="124">
      <x:c r="A124" s="78"/>
      <x:c r="B124" s="44"/>
      <x:c r="C124" s="80" t="str">
        <x:f>IF(ISNUMBER(A124),DATE(YEAR(A124),MONTH(A124),1),"")</x:f>
      </x:c>
      <x:c r="D124" s="44"/>
      <x:c r="E124" s="50"/>
      <x:c r="F124" s="44"/>
      <x:c r="G124" s="72" t="str">
        <x:f>IF(OR(B124="",NOT(ISNUMBER(B124))),"",IFERROR(INDEX(FORDERUNGEN!$B$9:$B$28,MATCH(B124,FORDERUNGEN!$A$9:$A$28,0)),""))</x:f>
      </x:c>
      <x:c r="H124" s="72" t="str">
        <x:f>IF(COUNTA(A124:B124,D124:F124)=0,"",IF(OR(NOT(ISNUMBER(A124)),NOT(ISNUMBER(B124)),NOT(ISNUMBER(E124)),E124&lt;=0,F124="",G124=""),"PRÜFEN",IF(IFERROR(INDEX(FORDERUNGEN!$K$9:$K$28,MATCH(B124,FORDERUNGEN!$A$9:$A$28,0)),"")&lt;&gt;"OK","FORDERUNG NICHT IM PLAN",IF(OR(C124&lt;STEUERUNG!$B$7,C124&gt;EDATE(STEUERUNG!$B$7,71)),"AUSSERHALB HORIZONT","OK"))))</x:f>
      </x:c>
      <x:c r="I124" s="44"/>
    </x:row>
    <x:row r="125">
      <x:c r="A125" s="78"/>
      <x:c r="B125" s="44"/>
      <x:c r="C125" s="80" t="str">
        <x:f>IF(ISNUMBER(A125),DATE(YEAR(A125),MONTH(A125),1),"")</x:f>
      </x:c>
      <x:c r="D125" s="44"/>
      <x:c r="E125" s="50"/>
      <x:c r="F125" s="44"/>
      <x:c r="G125" s="72" t="str">
        <x:f>IF(OR(B125="",NOT(ISNUMBER(B125))),"",IFERROR(INDEX(FORDERUNGEN!$B$9:$B$28,MATCH(B125,FORDERUNGEN!$A$9:$A$28,0)),""))</x:f>
      </x:c>
      <x:c r="H125" s="72" t="str">
        <x:f>IF(COUNTA(A125:B125,D125:F125)=0,"",IF(OR(NOT(ISNUMBER(A125)),NOT(ISNUMBER(B125)),NOT(ISNUMBER(E125)),E125&lt;=0,F125="",G125=""),"PRÜFEN",IF(IFERROR(INDEX(FORDERUNGEN!$K$9:$K$28,MATCH(B125,FORDERUNGEN!$A$9:$A$28,0)),"")&lt;&gt;"OK","FORDERUNG NICHT IM PLAN",IF(OR(C125&lt;STEUERUNG!$B$7,C125&gt;EDATE(STEUERUNG!$B$7,71)),"AUSSERHALB HORIZONT","OK"))))</x:f>
      </x:c>
      <x:c r="I125" s="44"/>
    </x:row>
    <x:row r="126">
      <x:c r="A126" s="78"/>
      <x:c r="B126" s="44"/>
      <x:c r="C126" s="80" t="str">
        <x:f>IF(ISNUMBER(A126),DATE(YEAR(A126),MONTH(A126),1),"")</x:f>
      </x:c>
      <x:c r="D126" s="44"/>
      <x:c r="E126" s="50"/>
      <x:c r="F126" s="44"/>
      <x:c r="G126" s="72" t="str">
        <x:f>IF(OR(B126="",NOT(ISNUMBER(B126))),"",IFERROR(INDEX(FORDERUNGEN!$B$9:$B$28,MATCH(B126,FORDERUNGEN!$A$9:$A$28,0)),""))</x:f>
      </x:c>
      <x:c r="H126" s="72" t="str">
        <x:f>IF(COUNTA(A126:B126,D126:F126)=0,"",IF(OR(NOT(ISNUMBER(A126)),NOT(ISNUMBER(B126)),NOT(ISNUMBER(E126)),E126&lt;=0,F126="",G126=""),"PRÜFEN",IF(IFERROR(INDEX(FORDERUNGEN!$K$9:$K$28,MATCH(B126,FORDERUNGEN!$A$9:$A$28,0)),"")&lt;&gt;"OK","FORDERUNG NICHT IM PLAN",IF(OR(C126&lt;STEUERUNG!$B$7,C126&gt;EDATE(STEUERUNG!$B$7,71)),"AUSSERHALB HORIZONT","OK"))))</x:f>
      </x:c>
      <x:c r="I126" s="44"/>
    </x:row>
    <x:row r="127">
      <x:c r="A127" s="78"/>
      <x:c r="B127" s="44"/>
      <x:c r="C127" s="80" t="str">
        <x:f>IF(ISNUMBER(A127),DATE(YEAR(A127),MONTH(A127),1),"")</x:f>
      </x:c>
      <x:c r="D127" s="44"/>
      <x:c r="E127" s="50"/>
      <x:c r="F127" s="44"/>
      <x:c r="G127" s="72" t="str">
        <x:f>IF(OR(B127="",NOT(ISNUMBER(B127))),"",IFERROR(INDEX(FORDERUNGEN!$B$9:$B$28,MATCH(B127,FORDERUNGEN!$A$9:$A$28,0)),""))</x:f>
      </x:c>
      <x:c r="H127" s="72" t="str">
        <x:f>IF(COUNTA(A127:B127,D127:F127)=0,"",IF(OR(NOT(ISNUMBER(A127)),NOT(ISNUMBER(B127)),NOT(ISNUMBER(E127)),E127&lt;=0,F127="",G127=""),"PRÜFEN",IF(IFERROR(INDEX(FORDERUNGEN!$K$9:$K$28,MATCH(B127,FORDERUNGEN!$A$9:$A$28,0)),"")&lt;&gt;"OK","FORDERUNG NICHT IM PLAN",IF(OR(C127&lt;STEUERUNG!$B$7,C127&gt;EDATE(STEUERUNG!$B$7,71)),"AUSSERHALB HORIZONT","OK"))))</x:f>
      </x:c>
      <x:c r="I127" s="44"/>
    </x:row>
    <x:row r="128">
      <x:c r="A128" s="78"/>
      <x:c r="B128" s="44"/>
      <x:c r="C128" s="80" t="str">
        <x:f>IF(ISNUMBER(A128),DATE(YEAR(A128),MONTH(A128),1),"")</x:f>
      </x:c>
      <x:c r="D128" s="44"/>
      <x:c r="E128" s="50"/>
      <x:c r="F128" s="44"/>
      <x:c r="G128" s="72" t="str">
        <x:f>IF(OR(B128="",NOT(ISNUMBER(B128))),"",IFERROR(INDEX(FORDERUNGEN!$B$9:$B$28,MATCH(B128,FORDERUNGEN!$A$9:$A$28,0)),""))</x:f>
      </x:c>
      <x:c r="H128" s="72" t="str">
        <x:f>IF(COUNTA(A128:B128,D128:F128)=0,"",IF(OR(NOT(ISNUMBER(A128)),NOT(ISNUMBER(B128)),NOT(ISNUMBER(E128)),E128&lt;=0,F128="",G128=""),"PRÜFEN",IF(IFERROR(INDEX(FORDERUNGEN!$K$9:$K$28,MATCH(B128,FORDERUNGEN!$A$9:$A$28,0)),"")&lt;&gt;"OK","FORDERUNG NICHT IM PLAN",IF(OR(C128&lt;STEUERUNG!$B$7,C128&gt;EDATE(STEUERUNG!$B$7,71)),"AUSSERHALB HORIZONT","OK"))))</x:f>
      </x:c>
      <x:c r="I128" s="44"/>
    </x:row>
    <x:row r="132" ht="29" customHeight="1">
      <x:c r="A132" s="16" t="str">
        <x:v>KONTROLLE DER SONDERZAHLUNGEN</x:v>
      </x:c>
      <x:c r="B132" s="16"/>
      <x:c r="C132" s="16"/>
      <x:c r="D132" s="16"/>
      <x:c r="E132" s="16"/>
      <x:c r="F132" s="16"/>
      <x:c r="G132" s="16"/>
      <x:c r="H132" s="16"/>
      <x:c r="I132" s="16"/>
    </x:row>
    <x:row r="134">
      <x:c r="A134" t="str">
        <x:v>Zulässige, eingeplante Sonderzahlungen</x:v>
      </x:c>
      <x:c r="E134" s="76" t="n">
        <x:f>SUMIFS(E9:E128,H9:H128,"OK",F9:F128,"Ja")</x:f>
        <x:v>0</x:v>
      </x:c>
    </x:row>
    <x:row r="136">
      <x:c r="A136" t="str">
        <x:v>Einträge, die geprüft werden müssen</x:v>
      </x:c>
      <x:c r="E136" s="74" t="n">
        <x:f>COUNTIF(H9:H128,"PRÜFEN")+COUNTIF(H9:H128,"FORDERUNG NICHT IM PLAN")+COUNTIF(H9:H128,"AUSSERHALB HORIZONT")</x:f>
        <x:v>0</x:v>
      </x:c>
    </x:row>
    <x:row r="139" ht="40" customHeight="1">
      <x:c r="A139" s="37" t="str">
        <x:v>Monatsbudget + Sonderzahlung = Gesamtmittel. Trage niemals dieselbe Summe gleichzeitig im MONATSBUDGET und als SONDERZAHLUNG ein. Keine automatische Bankzahlung.</x:v>
      </x:c>
      <x:c r="B139" s="37"/>
      <x:c r="C139" s="37"/>
      <x:c r="D139" s="37"/>
      <x:c r="E139" s="37"/>
      <x:c r="F139" s="37"/>
      <x:c r="G139" s="37"/>
      <x:c r="H139" s="37"/>
      <x:c r="I139" s="37"/>
    </x:row>
  </x:sheetData>
  <x:mergeCells>
    <x:mergeCell ref="A1:I2"/>
    <x:mergeCell ref="A3:I3"/>
    <x:mergeCell ref="A5:I5"/>
    <x:mergeCell ref="A132:I132"/>
    <x:mergeCell ref="A134:D134"/>
    <x:mergeCell ref="A136:D136"/>
    <x:mergeCell ref="A139:I139"/>
  </x:mergeCells>
  <x:conditionalFormatting sqref="H9:H128">
    <x:cfRule type="expression" dxfId="4" priority="1">
      <x:formula>OR(H9="PRÜFEN",H9="FORDERUNG NICHT IM PLAN",H9="AUSSERHALB HORIZONT")</x:formula>
    </x:cfRule>
  </x:conditionalFormatting>
  <x:dataValidations count="1">
    <x:dataValidation type="list" sqref="F9:F128">
      <x:formula1>"Ja,Nein"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4" hidden="0" customWidth="1"/>
    <x:col min="3" max="3" width="24" hidden="0" customWidth="1"/>
    <x:col min="4" max="4" width="23" hidden="0" customWidth="1"/>
    <x:col min="5" max="5" width="45" hidden="0" customWidth="1"/>
    <x:col min="6" max="6" width="26" hidden="0" customWidth="1"/>
  </x:cols>
  <x:sheetData>
    <x:row r="1" ht="29" customHeight="1">
      <x:c r="A1" s="4" t="str">
        <x:v>NURGELD.DE  /  MONATSBUDGET</x:v>
      </x:c>
      <x:c r="B1" s="4"/>
      <x:c r="C1" s="4"/>
      <x:c r="D1" s="4"/>
      <x:c r="E1" s="4"/>
      <x:c r="F1" s="4"/>
    </x:row>
    <x:row r="2" ht="29" customHeight="1">
      <x:c r="A2" s="4"/>
      <x:c r="B2" s="4"/>
      <x:c r="C2" s="4"/>
      <x:c r="D2" s="4"/>
      <x:c r="E2" s="4"/>
      <x:c r="F2" s="4"/>
    </x:row>
    <x:row r="3" ht="28" customHeight="1">
      <x:c r="A3" s="10" t="str">
        <x:v>72 MONATE  ·  Standardbudget automatisch  ·  Blaue Überschreibungen nur für abweichende Monate</x:v>
      </x:c>
      <x:c r="B3" s="10"/>
      <x:c r="C3" s="10"/>
      <x:c r="D3" s="10"/>
      <x:c r="E3" s="10"/>
      <x:c r="F3" s="10"/>
    </x:row>
    <x:row r="4" ht="21" customHeight="1"/>
    <x:row r="5" ht="41" customHeight="1">
      <x:c r="A5" s="37" t="str">
        <x:v>Das Grundbudget gilt durchgehend. Nur in Spalte B einen anderen Betrag eintragen (auch 0 € ist erlaubt). Sonderzahlungen werden nicht zum Monatsbudget addiert, sondern separat behandelt.</x:v>
      </x:c>
      <x:c r="B5" s="37"/>
      <x:c r="C5" s="37"/>
      <x:c r="D5" s="37"/>
      <x:c r="E5" s="37"/>
      <x:c r="F5" s="37"/>
    </x:row>
    <x:row r="6" ht="21" customHeight="1"/>
    <x:row r="7" ht="21" customHeight="1"/>
    <x:row r="8" ht="41" customHeight="1">
      <x:c r="A8" s="66" t="str">
        <x:v>Planmonat</x:v>
      </x:c>
      <x:c r="B8" s="66" t="str">
        <x:v>Abweichendes Budget (€)</x:v>
      </x:c>
      <x:c r="C8" s="66" t="str">
        <x:v>Gültiges Budget (€)</x:v>
      </x:c>
      <x:c r="D8" s="66" t="str">
        <x:v>Sondermittel geplant (€)</x:v>
      </x:c>
      <x:c r="E8" s="66" t="str">
        <x:v>Notiz / Grund</x:v>
      </x:c>
      <x:c r="F8" s="66" t="str">
        <x:v>Datencheck</x:v>
      </x:c>
    </x:row>
    <x:row r="9" ht="21" customHeight="1">
      <x:c r="A9" s="80" t="n">
        <x:f>EDATE(STEUERUNG!$B$7,0)</x:f>
        <x:v>46266</x:v>
      </x:c>
      <x:c r="B9" s="50"/>
      <x:c r="C9" s="76" t="str">
        <x:f>IF(B9&lt;&gt;"",B9,IF(STEUERUNG!$B$9="","",STEUERUNG!$B$9))</x:f>
      </x:c>
      <x:c r="D9" s="76" t="n">
        <x:f>SUMIFS(SONDERZAHLUNGEN!$E$9:$E$128,SONDERZAHLUNGEN!$C$9:$C$128,A9,SONDERZAHLUNGEN!$H$9:$H$128,"OK",SONDERZAHLUNGEN!$F$9:$F$128,"Ja")</x:f>
        <x:v>0</x:v>
      </x:c>
      <x:c r="E9" s="44"/>
      <x:c r="F9" s="72" t="str">
        <x:f>IF(AND(B9="",STEUERUNG!$B$9=""),"BUDGET FEHLT",IF(OR(AND(B9&lt;&gt;"",NOT(ISNUMBER(B9))),AND(ISNUMBER(B9),B9&lt;0),AND(STEUERUNG!$B$9&lt;&gt;"",OR(NOT(ISNUMBER(STEUERUNG!$B$9)),STEUERUNG!$B$9&lt;0))),"PRÜFEN","OK"))</x:f>
        <x:v>BUDGET FEHLT</x:v>
      </x:c>
    </x:row>
    <x:row r="10" ht="21" customHeight="1">
      <x:c r="A10" s="80" t="n">
        <x:f>EDATE(STEUERUNG!$B$7,1)</x:f>
        <x:v>46296</x:v>
      </x:c>
      <x:c r="B10" s="50"/>
      <x:c r="C10" s="76" t="str">
        <x:f>IF(B10&lt;&gt;"",B10,IF(STEUERUNG!$B$9="","",STEUERUNG!$B$9))</x:f>
      </x:c>
      <x:c r="D10" s="76" t="n">
        <x:f>SUMIFS(SONDERZAHLUNGEN!$E$9:$E$128,SONDERZAHLUNGEN!$C$9:$C$128,A10,SONDERZAHLUNGEN!$H$9:$H$128,"OK",SONDERZAHLUNGEN!$F$9:$F$128,"Ja")</x:f>
        <x:v>0</x:v>
      </x:c>
      <x:c r="E10" s="44"/>
      <x:c r="F10" s="72" t="str">
        <x:f>IF(AND(B10="",STEUERUNG!$B$9=""),"BUDGET FEHLT",IF(OR(AND(B10&lt;&gt;"",NOT(ISNUMBER(B10))),AND(ISNUMBER(B10),B10&lt;0),AND(STEUERUNG!$B$9&lt;&gt;"",OR(NOT(ISNUMBER(STEUERUNG!$B$9)),STEUERUNG!$B$9&lt;0))),"PRÜFEN","OK"))</x:f>
        <x:v>BUDGET FEHLT</x:v>
      </x:c>
    </x:row>
    <x:row r="11" ht="21" customHeight="1">
      <x:c r="A11" s="80" t="n">
        <x:f>EDATE(STEUERUNG!$B$7,2)</x:f>
        <x:v>46327</x:v>
      </x:c>
      <x:c r="B11" s="50"/>
      <x:c r="C11" s="76" t="str">
        <x:f>IF(B11&lt;&gt;"",B11,IF(STEUERUNG!$B$9="","",STEUERUNG!$B$9))</x:f>
      </x:c>
      <x:c r="D11" s="76" t="n">
        <x:f>SUMIFS(SONDERZAHLUNGEN!$E$9:$E$128,SONDERZAHLUNGEN!$C$9:$C$128,A11,SONDERZAHLUNGEN!$H$9:$H$128,"OK",SONDERZAHLUNGEN!$F$9:$F$128,"Ja")</x:f>
        <x:v>0</x:v>
      </x:c>
      <x:c r="E11" s="44"/>
      <x:c r="F11" s="72" t="str">
        <x:f>IF(AND(B11="",STEUERUNG!$B$9=""),"BUDGET FEHLT",IF(OR(AND(B11&lt;&gt;"",NOT(ISNUMBER(B11))),AND(ISNUMBER(B11),B11&lt;0),AND(STEUERUNG!$B$9&lt;&gt;"",OR(NOT(ISNUMBER(STEUERUNG!$B$9)),STEUERUNG!$B$9&lt;0))),"PRÜFEN","OK"))</x:f>
        <x:v>BUDGET FEHLT</x:v>
      </x:c>
    </x:row>
    <x:row r="12" ht="21" customHeight="1">
      <x:c r="A12" s="80" t="n">
        <x:f>EDATE(STEUERUNG!$B$7,3)</x:f>
        <x:v>46357</x:v>
      </x:c>
      <x:c r="B12" s="50"/>
      <x:c r="C12" s="76" t="str">
        <x:f>IF(B12&lt;&gt;"",B12,IF(STEUERUNG!$B$9="","",STEUERUNG!$B$9))</x:f>
      </x:c>
      <x:c r="D12" s="76" t="n">
        <x:f>SUMIFS(SONDERZAHLUNGEN!$E$9:$E$128,SONDERZAHLUNGEN!$C$9:$C$128,A12,SONDERZAHLUNGEN!$H$9:$H$128,"OK",SONDERZAHLUNGEN!$F$9:$F$128,"Ja")</x:f>
        <x:v>0</x:v>
      </x:c>
      <x:c r="E12" s="44"/>
      <x:c r="F12" s="72" t="str">
        <x:f>IF(AND(B12="",STEUERUNG!$B$9=""),"BUDGET FEHLT",IF(OR(AND(B12&lt;&gt;"",NOT(ISNUMBER(B12))),AND(ISNUMBER(B12),B12&lt;0),AND(STEUERUNG!$B$9&lt;&gt;"",OR(NOT(ISNUMBER(STEUERUNG!$B$9)),STEUERUNG!$B$9&lt;0))),"PRÜFEN","OK"))</x:f>
        <x:v>BUDGET FEHLT</x:v>
      </x:c>
    </x:row>
    <x:row r="13" ht="21" customHeight="1">
      <x:c r="A13" s="80" t="n">
        <x:f>EDATE(STEUERUNG!$B$7,4)</x:f>
        <x:v>46388</x:v>
      </x:c>
      <x:c r="B13" s="50"/>
      <x:c r="C13" s="76" t="str">
        <x:f>IF(B13&lt;&gt;"",B13,IF(STEUERUNG!$B$9="","",STEUERUNG!$B$9))</x:f>
      </x:c>
      <x:c r="D13" s="76" t="n">
        <x:f>SUMIFS(SONDERZAHLUNGEN!$E$9:$E$128,SONDERZAHLUNGEN!$C$9:$C$128,A13,SONDERZAHLUNGEN!$H$9:$H$128,"OK",SONDERZAHLUNGEN!$F$9:$F$128,"Ja")</x:f>
        <x:v>0</x:v>
      </x:c>
      <x:c r="E13" s="44"/>
      <x:c r="F13" s="72" t="str">
        <x:f>IF(AND(B13="",STEUERUNG!$B$9=""),"BUDGET FEHLT",IF(OR(AND(B13&lt;&gt;"",NOT(ISNUMBER(B13))),AND(ISNUMBER(B13),B13&lt;0),AND(STEUERUNG!$B$9&lt;&gt;"",OR(NOT(ISNUMBER(STEUERUNG!$B$9)),STEUERUNG!$B$9&lt;0))),"PRÜFEN","OK"))</x:f>
        <x:v>BUDGET FEHLT</x:v>
      </x:c>
    </x:row>
    <x:row r="14" ht="21" customHeight="1">
      <x:c r="A14" s="80" t="n">
        <x:f>EDATE(STEUERUNG!$B$7,5)</x:f>
        <x:v>46419</x:v>
      </x:c>
      <x:c r="B14" s="50"/>
      <x:c r="C14" s="76" t="str">
        <x:f>IF(B14&lt;&gt;"",B14,IF(STEUERUNG!$B$9="","",STEUERUNG!$B$9))</x:f>
      </x:c>
      <x:c r="D14" s="76" t="n">
        <x:f>SUMIFS(SONDERZAHLUNGEN!$E$9:$E$128,SONDERZAHLUNGEN!$C$9:$C$128,A14,SONDERZAHLUNGEN!$H$9:$H$128,"OK",SONDERZAHLUNGEN!$F$9:$F$128,"Ja")</x:f>
        <x:v>0</x:v>
      </x:c>
      <x:c r="E14" s="44"/>
      <x:c r="F14" s="72" t="str">
        <x:f>IF(AND(B14="",STEUERUNG!$B$9=""),"BUDGET FEHLT",IF(OR(AND(B14&lt;&gt;"",NOT(ISNUMBER(B14))),AND(ISNUMBER(B14),B14&lt;0),AND(STEUERUNG!$B$9&lt;&gt;"",OR(NOT(ISNUMBER(STEUERUNG!$B$9)),STEUERUNG!$B$9&lt;0))),"PRÜFEN","OK"))</x:f>
        <x:v>BUDGET FEHLT</x:v>
      </x:c>
    </x:row>
    <x:row r="15" ht="21" customHeight="1">
      <x:c r="A15" s="80" t="n">
        <x:f>EDATE(STEUERUNG!$B$7,6)</x:f>
        <x:v>46447</x:v>
      </x:c>
      <x:c r="B15" s="50"/>
      <x:c r="C15" s="76" t="str">
        <x:f>IF(B15&lt;&gt;"",B15,IF(STEUERUNG!$B$9="","",STEUERUNG!$B$9))</x:f>
      </x:c>
      <x:c r="D15" s="76" t="n">
        <x:f>SUMIFS(SONDERZAHLUNGEN!$E$9:$E$128,SONDERZAHLUNGEN!$C$9:$C$128,A15,SONDERZAHLUNGEN!$H$9:$H$128,"OK",SONDERZAHLUNGEN!$F$9:$F$128,"Ja")</x:f>
        <x:v>0</x:v>
      </x:c>
      <x:c r="E15" s="44"/>
      <x:c r="F15" s="72" t="str">
        <x:f>IF(AND(B15="",STEUERUNG!$B$9=""),"BUDGET FEHLT",IF(OR(AND(B15&lt;&gt;"",NOT(ISNUMBER(B15))),AND(ISNUMBER(B15),B15&lt;0),AND(STEUERUNG!$B$9&lt;&gt;"",OR(NOT(ISNUMBER(STEUERUNG!$B$9)),STEUERUNG!$B$9&lt;0))),"PRÜFEN","OK"))</x:f>
        <x:v>BUDGET FEHLT</x:v>
      </x:c>
    </x:row>
    <x:row r="16" ht="21" customHeight="1">
      <x:c r="A16" s="80" t="n">
        <x:f>EDATE(STEUERUNG!$B$7,7)</x:f>
        <x:v>46478</x:v>
      </x:c>
      <x:c r="B16" s="50"/>
      <x:c r="C16" s="76" t="str">
        <x:f>IF(B16&lt;&gt;"",B16,IF(STEUERUNG!$B$9="","",STEUERUNG!$B$9))</x:f>
      </x:c>
      <x:c r="D16" s="76" t="n">
        <x:f>SUMIFS(SONDERZAHLUNGEN!$E$9:$E$128,SONDERZAHLUNGEN!$C$9:$C$128,A16,SONDERZAHLUNGEN!$H$9:$H$128,"OK",SONDERZAHLUNGEN!$F$9:$F$128,"Ja")</x:f>
        <x:v>0</x:v>
      </x:c>
      <x:c r="E16" s="44"/>
      <x:c r="F16" s="72" t="str">
        <x:f>IF(AND(B16="",STEUERUNG!$B$9=""),"BUDGET FEHLT",IF(OR(AND(B16&lt;&gt;"",NOT(ISNUMBER(B16))),AND(ISNUMBER(B16),B16&lt;0),AND(STEUERUNG!$B$9&lt;&gt;"",OR(NOT(ISNUMBER(STEUERUNG!$B$9)),STEUERUNG!$B$9&lt;0))),"PRÜFEN","OK"))</x:f>
        <x:v>BUDGET FEHLT</x:v>
      </x:c>
    </x:row>
    <x:row r="17" ht="21" customHeight="1">
      <x:c r="A17" s="80" t="n">
        <x:f>EDATE(STEUERUNG!$B$7,8)</x:f>
        <x:v>46508</x:v>
      </x:c>
      <x:c r="B17" s="50"/>
      <x:c r="C17" s="76" t="str">
        <x:f>IF(B17&lt;&gt;"",B17,IF(STEUERUNG!$B$9="","",STEUERUNG!$B$9))</x:f>
      </x:c>
      <x:c r="D17" s="76" t="n">
        <x:f>SUMIFS(SONDERZAHLUNGEN!$E$9:$E$128,SONDERZAHLUNGEN!$C$9:$C$128,A17,SONDERZAHLUNGEN!$H$9:$H$128,"OK",SONDERZAHLUNGEN!$F$9:$F$128,"Ja")</x:f>
        <x:v>0</x:v>
      </x:c>
      <x:c r="E17" s="44"/>
      <x:c r="F17" s="72" t="str">
        <x:f>IF(AND(B17="",STEUERUNG!$B$9=""),"BUDGET FEHLT",IF(OR(AND(B17&lt;&gt;"",NOT(ISNUMBER(B17))),AND(ISNUMBER(B17),B17&lt;0),AND(STEUERUNG!$B$9&lt;&gt;"",OR(NOT(ISNUMBER(STEUERUNG!$B$9)),STEUERUNG!$B$9&lt;0))),"PRÜFEN","OK"))</x:f>
        <x:v>BUDGET FEHLT</x:v>
      </x:c>
    </x:row>
    <x:row r="18" ht="21" customHeight="1">
      <x:c r="A18" s="80" t="n">
        <x:f>EDATE(STEUERUNG!$B$7,9)</x:f>
        <x:v>46539</x:v>
      </x:c>
      <x:c r="B18" s="50"/>
      <x:c r="C18" s="76" t="str">
        <x:f>IF(B18&lt;&gt;"",B18,IF(STEUERUNG!$B$9="","",STEUERUNG!$B$9))</x:f>
      </x:c>
      <x:c r="D18" s="76" t="n">
        <x:f>SUMIFS(SONDERZAHLUNGEN!$E$9:$E$128,SONDERZAHLUNGEN!$C$9:$C$128,A18,SONDERZAHLUNGEN!$H$9:$H$128,"OK",SONDERZAHLUNGEN!$F$9:$F$128,"Ja")</x:f>
        <x:v>0</x:v>
      </x:c>
      <x:c r="E18" s="44"/>
      <x:c r="F18" s="72" t="str">
        <x:f>IF(AND(B18="",STEUERUNG!$B$9=""),"BUDGET FEHLT",IF(OR(AND(B18&lt;&gt;"",NOT(ISNUMBER(B18))),AND(ISNUMBER(B18),B18&lt;0),AND(STEUERUNG!$B$9&lt;&gt;"",OR(NOT(ISNUMBER(STEUERUNG!$B$9)),STEUERUNG!$B$9&lt;0))),"PRÜFEN","OK"))</x:f>
        <x:v>BUDGET FEHLT</x:v>
      </x:c>
    </x:row>
    <x:row r="19" ht="21" customHeight="1">
      <x:c r="A19" s="80" t="n">
        <x:f>EDATE(STEUERUNG!$B$7,10)</x:f>
        <x:v>46569</x:v>
      </x:c>
      <x:c r="B19" s="50"/>
      <x:c r="C19" s="76" t="str">
        <x:f>IF(B19&lt;&gt;"",B19,IF(STEUERUNG!$B$9="","",STEUERUNG!$B$9))</x:f>
      </x:c>
      <x:c r="D19" s="76" t="n">
        <x:f>SUMIFS(SONDERZAHLUNGEN!$E$9:$E$128,SONDERZAHLUNGEN!$C$9:$C$128,A19,SONDERZAHLUNGEN!$H$9:$H$128,"OK",SONDERZAHLUNGEN!$F$9:$F$128,"Ja")</x:f>
        <x:v>0</x:v>
      </x:c>
      <x:c r="E19" s="44"/>
      <x:c r="F19" s="72" t="str">
        <x:f>IF(AND(B19="",STEUERUNG!$B$9=""),"BUDGET FEHLT",IF(OR(AND(B19&lt;&gt;"",NOT(ISNUMBER(B19))),AND(ISNUMBER(B19),B19&lt;0),AND(STEUERUNG!$B$9&lt;&gt;"",OR(NOT(ISNUMBER(STEUERUNG!$B$9)),STEUERUNG!$B$9&lt;0))),"PRÜFEN","OK"))</x:f>
        <x:v>BUDGET FEHLT</x:v>
      </x:c>
    </x:row>
    <x:row r="20" ht="21" customHeight="1">
      <x:c r="A20" s="80" t="n">
        <x:f>EDATE(STEUERUNG!$B$7,11)</x:f>
        <x:v>46600</x:v>
      </x:c>
      <x:c r="B20" s="50"/>
      <x:c r="C20" s="76" t="str">
        <x:f>IF(B20&lt;&gt;"",B20,IF(STEUERUNG!$B$9="","",STEUERUNG!$B$9))</x:f>
      </x:c>
      <x:c r="D20" s="76" t="n">
        <x:f>SUMIFS(SONDERZAHLUNGEN!$E$9:$E$128,SONDERZAHLUNGEN!$C$9:$C$128,A20,SONDERZAHLUNGEN!$H$9:$H$128,"OK",SONDERZAHLUNGEN!$F$9:$F$128,"Ja")</x:f>
        <x:v>0</x:v>
      </x:c>
      <x:c r="E20" s="44"/>
      <x:c r="F20" s="72" t="str">
        <x:f>IF(AND(B20="",STEUERUNG!$B$9=""),"BUDGET FEHLT",IF(OR(AND(B20&lt;&gt;"",NOT(ISNUMBER(B20))),AND(ISNUMBER(B20),B20&lt;0),AND(STEUERUNG!$B$9&lt;&gt;"",OR(NOT(ISNUMBER(STEUERUNG!$B$9)),STEUERUNG!$B$9&lt;0))),"PRÜFEN","OK"))</x:f>
        <x:v>BUDGET FEHLT</x:v>
      </x:c>
    </x:row>
    <x:row r="21" ht="21" customHeight="1">
      <x:c r="A21" s="80" t="n">
        <x:f>EDATE(STEUERUNG!$B$7,12)</x:f>
        <x:v>46631</x:v>
      </x:c>
      <x:c r="B21" s="50"/>
      <x:c r="C21" s="76" t="str">
        <x:f>IF(B21&lt;&gt;"",B21,IF(STEUERUNG!$B$9="","",STEUERUNG!$B$9))</x:f>
      </x:c>
      <x:c r="D21" s="76" t="n">
        <x:f>SUMIFS(SONDERZAHLUNGEN!$E$9:$E$128,SONDERZAHLUNGEN!$C$9:$C$128,A21,SONDERZAHLUNGEN!$H$9:$H$128,"OK",SONDERZAHLUNGEN!$F$9:$F$128,"Ja")</x:f>
        <x:v>0</x:v>
      </x:c>
      <x:c r="E21" s="44"/>
      <x:c r="F21" s="72" t="str">
        <x:f>IF(AND(B21="",STEUERUNG!$B$9=""),"BUDGET FEHLT",IF(OR(AND(B21&lt;&gt;"",NOT(ISNUMBER(B21))),AND(ISNUMBER(B21),B21&lt;0),AND(STEUERUNG!$B$9&lt;&gt;"",OR(NOT(ISNUMBER(STEUERUNG!$B$9)),STEUERUNG!$B$9&lt;0))),"PRÜFEN","OK"))</x:f>
        <x:v>BUDGET FEHLT</x:v>
      </x:c>
    </x:row>
    <x:row r="22" ht="21" customHeight="1">
      <x:c r="A22" s="80" t="n">
        <x:f>EDATE(STEUERUNG!$B$7,13)</x:f>
        <x:v>46661</x:v>
      </x:c>
      <x:c r="B22" s="50"/>
      <x:c r="C22" s="76" t="str">
        <x:f>IF(B22&lt;&gt;"",B22,IF(STEUERUNG!$B$9="","",STEUERUNG!$B$9))</x:f>
      </x:c>
      <x:c r="D22" s="76" t="n">
        <x:f>SUMIFS(SONDERZAHLUNGEN!$E$9:$E$128,SONDERZAHLUNGEN!$C$9:$C$128,A22,SONDERZAHLUNGEN!$H$9:$H$128,"OK",SONDERZAHLUNGEN!$F$9:$F$128,"Ja")</x:f>
        <x:v>0</x:v>
      </x:c>
      <x:c r="E22" s="44"/>
      <x:c r="F22" s="72" t="str">
        <x:f>IF(AND(B22="",STEUERUNG!$B$9=""),"BUDGET FEHLT",IF(OR(AND(B22&lt;&gt;"",NOT(ISNUMBER(B22))),AND(ISNUMBER(B22),B22&lt;0),AND(STEUERUNG!$B$9&lt;&gt;"",OR(NOT(ISNUMBER(STEUERUNG!$B$9)),STEUERUNG!$B$9&lt;0))),"PRÜFEN","OK"))</x:f>
        <x:v>BUDGET FEHLT</x:v>
      </x:c>
    </x:row>
    <x:row r="23" ht="21" customHeight="1">
      <x:c r="A23" s="80" t="n">
        <x:f>EDATE(STEUERUNG!$B$7,14)</x:f>
        <x:v>46692</x:v>
      </x:c>
      <x:c r="B23" s="50"/>
      <x:c r="C23" s="76" t="str">
        <x:f>IF(B23&lt;&gt;"",B23,IF(STEUERUNG!$B$9="","",STEUERUNG!$B$9))</x:f>
      </x:c>
      <x:c r="D23" s="76" t="n">
        <x:f>SUMIFS(SONDERZAHLUNGEN!$E$9:$E$128,SONDERZAHLUNGEN!$C$9:$C$128,A23,SONDERZAHLUNGEN!$H$9:$H$128,"OK",SONDERZAHLUNGEN!$F$9:$F$128,"Ja")</x:f>
        <x:v>0</x:v>
      </x:c>
      <x:c r="E23" s="44"/>
      <x:c r="F23" s="72" t="str">
        <x:f>IF(AND(B23="",STEUERUNG!$B$9=""),"BUDGET FEHLT",IF(OR(AND(B23&lt;&gt;"",NOT(ISNUMBER(B23))),AND(ISNUMBER(B23),B23&lt;0),AND(STEUERUNG!$B$9&lt;&gt;"",OR(NOT(ISNUMBER(STEUERUNG!$B$9)),STEUERUNG!$B$9&lt;0))),"PRÜFEN","OK"))</x:f>
        <x:v>BUDGET FEHLT</x:v>
      </x:c>
    </x:row>
    <x:row r="24" ht="21" customHeight="1">
      <x:c r="A24" s="80" t="n">
        <x:f>EDATE(STEUERUNG!$B$7,15)</x:f>
        <x:v>46722</x:v>
      </x:c>
      <x:c r="B24" s="50"/>
      <x:c r="C24" s="76" t="str">
        <x:f>IF(B24&lt;&gt;"",B24,IF(STEUERUNG!$B$9="","",STEUERUNG!$B$9))</x:f>
      </x:c>
      <x:c r="D24" s="76" t="n">
        <x:f>SUMIFS(SONDERZAHLUNGEN!$E$9:$E$128,SONDERZAHLUNGEN!$C$9:$C$128,A24,SONDERZAHLUNGEN!$H$9:$H$128,"OK",SONDERZAHLUNGEN!$F$9:$F$128,"Ja")</x:f>
        <x:v>0</x:v>
      </x:c>
      <x:c r="E24" s="44"/>
      <x:c r="F24" s="72" t="str">
        <x:f>IF(AND(B24="",STEUERUNG!$B$9=""),"BUDGET FEHLT",IF(OR(AND(B24&lt;&gt;"",NOT(ISNUMBER(B24))),AND(ISNUMBER(B24),B24&lt;0),AND(STEUERUNG!$B$9&lt;&gt;"",OR(NOT(ISNUMBER(STEUERUNG!$B$9)),STEUERUNG!$B$9&lt;0))),"PRÜFEN","OK"))</x:f>
        <x:v>BUDGET FEHLT</x:v>
      </x:c>
    </x:row>
    <x:row r="25" ht="21" customHeight="1">
      <x:c r="A25" s="80" t="n">
        <x:f>EDATE(STEUERUNG!$B$7,16)</x:f>
        <x:v>46753</x:v>
      </x:c>
      <x:c r="B25" s="50"/>
      <x:c r="C25" s="76" t="str">
        <x:f>IF(B25&lt;&gt;"",B25,IF(STEUERUNG!$B$9="","",STEUERUNG!$B$9))</x:f>
      </x:c>
      <x:c r="D25" s="76" t="n">
        <x:f>SUMIFS(SONDERZAHLUNGEN!$E$9:$E$128,SONDERZAHLUNGEN!$C$9:$C$128,A25,SONDERZAHLUNGEN!$H$9:$H$128,"OK",SONDERZAHLUNGEN!$F$9:$F$128,"Ja")</x:f>
        <x:v>0</x:v>
      </x:c>
      <x:c r="E25" s="44"/>
      <x:c r="F25" s="72" t="str">
        <x:f>IF(AND(B25="",STEUERUNG!$B$9=""),"BUDGET FEHLT",IF(OR(AND(B25&lt;&gt;"",NOT(ISNUMBER(B25))),AND(ISNUMBER(B25),B25&lt;0),AND(STEUERUNG!$B$9&lt;&gt;"",OR(NOT(ISNUMBER(STEUERUNG!$B$9)),STEUERUNG!$B$9&lt;0))),"PRÜFEN","OK"))</x:f>
        <x:v>BUDGET FEHLT</x:v>
      </x:c>
    </x:row>
    <x:row r="26" ht="21" customHeight="1">
      <x:c r="A26" s="80" t="n">
        <x:f>EDATE(STEUERUNG!$B$7,17)</x:f>
        <x:v>46784</x:v>
      </x:c>
      <x:c r="B26" s="50"/>
      <x:c r="C26" s="76" t="str">
        <x:f>IF(B26&lt;&gt;"",B26,IF(STEUERUNG!$B$9="","",STEUERUNG!$B$9))</x:f>
      </x:c>
      <x:c r="D26" s="76" t="n">
        <x:f>SUMIFS(SONDERZAHLUNGEN!$E$9:$E$128,SONDERZAHLUNGEN!$C$9:$C$128,A26,SONDERZAHLUNGEN!$H$9:$H$128,"OK",SONDERZAHLUNGEN!$F$9:$F$128,"Ja")</x:f>
        <x:v>0</x:v>
      </x:c>
      <x:c r="E26" s="44"/>
      <x:c r="F26" s="72" t="str">
        <x:f>IF(AND(B26="",STEUERUNG!$B$9=""),"BUDGET FEHLT",IF(OR(AND(B26&lt;&gt;"",NOT(ISNUMBER(B26))),AND(ISNUMBER(B26),B26&lt;0),AND(STEUERUNG!$B$9&lt;&gt;"",OR(NOT(ISNUMBER(STEUERUNG!$B$9)),STEUERUNG!$B$9&lt;0))),"PRÜFEN","OK"))</x:f>
        <x:v>BUDGET FEHLT</x:v>
      </x:c>
    </x:row>
    <x:row r="27" ht="21" customHeight="1">
      <x:c r="A27" s="80" t="n">
        <x:f>EDATE(STEUERUNG!$B$7,18)</x:f>
        <x:v>46813</x:v>
      </x:c>
      <x:c r="B27" s="50"/>
      <x:c r="C27" s="76" t="str">
        <x:f>IF(B27&lt;&gt;"",B27,IF(STEUERUNG!$B$9="","",STEUERUNG!$B$9))</x:f>
      </x:c>
      <x:c r="D27" s="76" t="n">
        <x:f>SUMIFS(SONDERZAHLUNGEN!$E$9:$E$128,SONDERZAHLUNGEN!$C$9:$C$128,A27,SONDERZAHLUNGEN!$H$9:$H$128,"OK",SONDERZAHLUNGEN!$F$9:$F$128,"Ja")</x:f>
        <x:v>0</x:v>
      </x:c>
      <x:c r="E27" s="44"/>
      <x:c r="F27" s="72" t="str">
        <x:f>IF(AND(B27="",STEUERUNG!$B$9=""),"BUDGET FEHLT",IF(OR(AND(B27&lt;&gt;"",NOT(ISNUMBER(B27))),AND(ISNUMBER(B27),B27&lt;0),AND(STEUERUNG!$B$9&lt;&gt;"",OR(NOT(ISNUMBER(STEUERUNG!$B$9)),STEUERUNG!$B$9&lt;0))),"PRÜFEN","OK"))</x:f>
        <x:v>BUDGET FEHLT</x:v>
      </x:c>
    </x:row>
    <x:row r="28" ht="21" customHeight="1">
      <x:c r="A28" s="80" t="n">
        <x:f>EDATE(STEUERUNG!$B$7,19)</x:f>
        <x:v>46844</x:v>
      </x:c>
      <x:c r="B28" s="50"/>
      <x:c r="C28" s="76" t="str">
        <x:f>IF(B28&lt;&gt;"",B28,IF(STEUERUNG!$B$9="","",STEUERUNG!$B$9))</x:f>
      </x:c>
      <x:c r="D28" s="76" t="n">
        <x:f>SUMIFS(SONDERZAHLUNGEN!$E$9:$E$128,SONDERZAHLUNGEN!$C$9:$C$128,A28,SONDERZAHLUNGEN!$H$9:$H$128,"OK",SONDERZAHLUNGEN!$F$9:$F$128,"Ja")</x:f>
        <x:v>0</x:v>
      </x:c>
      <x:c r="E28" s="44"/>
      <x:c r="F28" s="72" t="str">
        <x:f>IF(AND(B28="",STEUERUNG!$B$9=""),"BUDGET FEHLT",IF(OR(AND(B28&lt;&gt;"",NOT(ISNUMBER(B28))),AND(ISNUMBER(B28),B28&lt;0),AND(STEUERUNG!$B$9&lt;&gt;"",OR(NOT(ISNUMBER(STEUERUNG!$B$9)),STEUERUNG!$B$9&lt;0))),"PRÜFEN","OK"))</x:f>
        <x:v>BUDGET FEHLT</x:v>
      </x:c>
    </x:row>
    <x:row r="29" ht="21" customHeight="1">
      <x:c r="A29" s="80" t="n">
        <x:f>EDATE(STEUERUNG!$B$7,20)</x:f>
        <x:v>46874</x:v>
      </x:c>
      <x:c r="B29" s="50"/>
      <x:c r="C29" s="76" t="str">
        <x:f>IF(B29&lt;&gt;"",B29,IF(STEUERUNG!$B$9="","",STEUERUNG!$B$9))</x:f>
      </x:c>
      <x:c r="D29" s="76" t="n">
        <x:f>SUMIFS(SONDERZAHLUNGEN!$E$9:$E$128,SONDERZAHLUNGEN!$C$9:$C$128,A29,SONDERZAHLUNGEN!$H$9:$H$128,"OK",SONDERZAHLUNGEN!$F$9:$F$128,"Ja")</x:f>
        <x:v>0</x:v>
      </x:c>
      <x:c r="E29" s="44"/>
      <x:c r="F29" s="72" t="str">
        <x:f>IF(AND(B29="",STEUERUNG!$B$9=""),"BUDGET FEHLT",IF(OR(AND(B29&lt;&gt;"",NOT(ISNUMBER(B29))),AND(ISNUMBER(B29),B29&lt;0),AND(STEUERUNG!$B$9&lt;&gt;"",OR(NOT(ISNUMBER(STEUERUNG!$B$9)),STEUERUNG!$B$9&lt;0))),"PRÜFEN","OK"))</x:f>
        <x:v>BUDGET FEHLT</x:v>
      </x:c>
    </x:row>
    <x:row r="30" ht="21" customHeight="1">
      <x:c r="A30" s="80" t="n">
        <x:f>EDATE(STEUERUNG!$B$7,21)</x:f>
        <x:v>46905</x:v>
      </x:c>
      <x:c r="B30" s="50"/>
      <x:c r="C30" s="76" t="str">
        <x:f>IF(B30&lt;&gt;"",B30,IF(STEUERUNG!$B$9="","",STEUERUNG!$B$9))</x:f>
      </x:c>
      <x:c r="D30" s="76" t="n">
        <x:f>SUMIFS(SONDERZAHLUNGEN!$E$9:$E$128,SONDERZAHLUNGEN!$C$9:$C$128,A30,SONDERZAHLUNGEN!$H$9:$H$128,"OK",SONDERZAHLUNGEN!$F$9:$F$128,"Ja")</x:f>
        <x:v>0</x:v>
      </x:c>
      <x:c r="E30" s="44"/>
      <x:c r="F30" s="72" t="str">
        <x:f>IF(AND(B30="",STEUERUNG!$B$9=""),"BUDGET FEHLT",IF(OR(AND(B30&lt;&gt;"",NOT(ISNUMBER(B30))),AND(ISNUMBER(B30),B30&lt;0),AND(STEUERUNG!$B$9&lt;&gt;"",OR(NOT(ISNUMBER(STEUERUNG!$B$9)),STEUERUNG!$B$9&lt;0))),"PRÜFEN","OK"))</x:f>
        <x:v>BUDGET FEHLT</x:v>
      </x:c>
    </x:row>
    <x:row r="31" ht="21" customHeight="1">
      <x:c r="A31" s="80" t="n">
        <x:f>EDATE(STEUERUNG!$B$7,22)</x:f>
        <x:v>46935</x:v>
      </x:c>
      <x:c r="B31" s="50"/>
      <x:c r="C31" s="76" t="str">
        <x:f>IF(B31&lt;&gt;"",B31,IF(STEUERUNG!$B$9="","",STEUERUNG!$B$9))</x:f>
      </x:c>
      <x:c r="D31" s="76" t="n">
        <x:f>SUMIFS(SONDERZAHLUNGEN!$E$9:$E$128,SONDERZAHLUNGEN!$C$9:$C$128,A31,SONDERZAHLUNGEN!$H$9:$H$128,"OK",SONDERZAHLUNGEN!$F$9:$F$128,"Ja")</x:f>
        <x:v>0</x:v>
      </x:c>
      <x:c r="E31" s="44"/>
      <x:c r="F31" s="72" t="str">
        <x:f>IF(AND(B31="",STEUERUNG!$B$9=""),"BUDGET FEHLT",IF(OR(AND(B31&lt;&gt;"",NOT(ISNUMBER(B31))),AND(ISNUMBER(B31),B31&lt;0),AND(STEUERUNG!$B$9&lt;&gt;"",OR(NOT(ISNUMBER(STEUERUNG!$B$9)),STEUERUNG!$B$9&lt;0))),"PRÜFEN","OK"))</x:f>
        <x:v>BUDGET FEHLT</x:v>
      </x:c>
    </x:row>
    <x:row r="32" ht="21" customHeight="1">
      <x:c r="A32" s="80" t="n">
        <x:f>EDATE(STEUERUNG!$B$7,23)</x:f>
        <x:v>46966</x:v>
      </x:c>
      <x:c r="B32" s="50"/>
      <x:c r="C32" s="76" t="str">
        <x:f>IF(B32&lt;&gt;"",B32,IF(STEUERUNG!$B$9="","",STEUERUNG!$B$9))</x:f>
      </x:c>
      <x:c r="D32" s="76" t="n">
        <x:f>SUMIFS(SONDERZAHLUNGEN!$E$9:$E$128,SONDERZAHLUNGEN!$C$9:$C$128,A32,SONDERZAHLUNGEN!$H$9:$H$128,"OK",SONDERZAHLUNGEN!$F$9:$F$128,"Ja")</x:f>
        <x:v>0</x:v>
      </x:c>
      <x:c r="E32" s="44"/>
      <x:c r="F32" s="72" t="str">
        <x:f>IF(AND(B32="",STEUERUNG!$B$9=""),"BUDGET FEHLT",IF(OR(AND(B32&lt;&gt;"",NOT(ISNUMBER(B32))),AND(ISNUMBER(B32),B32&lt;0),AND(STEUERUNG!$B$9&lt;&gt;"",OR(NOT(ISNUMBER(STEUERUNG!$B$9)),STEUERUNG!$B$9&lt;0))),"PRÜFEN","OK"))</x:f>
        <x:v>BUDGET FEHLT</x:v>
      </x:c>
    </x:row>
    <x:row r="33" ht="21" customHeight="1">
      <x:c r="A33" s="80" t="n">
        <x:f>EDATE(STEUERUNG!$B$7,24)</x:f>
        <x:v>46997</x:v>
      </x:c>
      <x:c r="B33" s="50"/>
      <x:c r="C33" s="76" t="str">
        <x:f>IF(B33&lt;&gt;"",B33,IF(STEUERUNG!$B$9="","",STEUERUNG!$B$9))</x:f>
      </x:c>
      <x:c r="D33" s="76" t="n">
        <x:f>SUMIFS(SONDERZAHLUNGEN!$E$9:$E$128,SONDERZAHLUNGEN!$C$9:$C$128,A33,SONDERZAHLUNGEN!$H$9:$H$128,"OK",SONDERZAHLUNGEN!$F$9:$F$128,"Ja")</x:f>
        <x:v>0</x:v>
      </x:c>
      <x:c r="E33" s="44"/>
      <x:c r="F33" s="72" t="str">
        <x:f>IF(AND(B33="",STEUERUNG!$B$9=""),"BUDGET FEHLT",IF(OR(AND(B33&lt;&gt;"",NOT(ISNUMBER(B33))),AND(ISNUMBER(B33),B33&lt;0),AND(STEUERUNG!$B$9&lt;&gt;"",OR(NOT(ISNUMBER(STEUERUNG!$B$9)),STEUERUNG!$B$9&lt;0))),"PRÜFEN","OK"))</x:f>
        <x:v>BUDGET FEHLT</x:v>
      </x:c>
    </x:row>
    <x:row r="34" ht="21" customHeight="1">
      <x:c r="A34" s="80" t="n">
        <x:f>EDATE(STEUERUNG!$B$7,25)</x:f>
        <x:v>47027</x:v>
      </x:c>
      <x:c r="B34" s="50"/>
      <x:c r="C34" s="76" t="str">
        <x:f>IF(B34&lt;&gt;"",B34,IF(STEUERUNG!$B$9="","",STEUERUNG!$B$9))</x:f>
      </x:c>
      <x:c r="D34" s="76" t="n">
        <x:f>SUMIFS(SONDERZAHLUNGEN!$E$9:$E$128,SONDERZAHLUNGEN!$C$9:$C$128,A34,SONDERZAHLUNGEN!$H$9:$H$128,"OK",SONDERZAHLUNGEN!$F$9:$F$128,"Ja")</x:f>
        <x:v>0</x:v>
      </x:c>
      <x:c r="E34" s="44"/>
      <x:c r="F34" s="72" t="str">
        <x:f>IF(AND(B34="",STEUERUNG!$B$9=""),"BUDGET FEHLT",IF(OR(AND(B34&lt;&gt;"",NOT(ISNUMBER(B34))),AND(ISNUMBER(B34),B34&lt;0),AND(STEUERUNG!$B$9&lt;&gt;"",OR(NOT(ISNUMBER(STEUERUNG!$B$9)),STEUERUNG!$B$9&lt;0))),"PRÜFEN","OK"))</x:f>
        <x:v>BUDGET FEHLT</x:v>
      </x:c>
    </x:row>
    <x:row r="35" ht="21" customHeight="1">
      <x:c r="A35" s="80" t="n">
        <x:f>EDATE(STEUERUNG!$B$7,26)</x:f>
        <x:v>47058</x:v>
      </x:c>
      <x:c r="B35" s="50"/>
      <x:c r="C35" s="76" t="str">
        <x:f>IF(B35&lt;&gt;"",B35,IF(STEUERUNG!$B$9="","",STEUERUNG!$B$9))</x:f>
      </x:c>
      <x:c r="D35" s="76" t="n">
        <x:f>SUMIFS(SONDERZAHLUNGEN!$E$9:$E$128,SONDERZAHLUNGEN!$C$9:$C$128,A35,SONDERZAHLUNGEN!$H$9:$H$128,"OK",SONDERZAHLUNGEN!$F$9:$F$128,"Ja")</x:f>
        <x:v>0</x:v>
      </x:c>
      <x:c r="E35" s="44"/>
      <x:c r="F35" s="72" t="str">
        <x:f>IF(AND(B35="",STEUERUNG!$B$9=""),"BUDGET FEHLT",IF(OR(AND(B35&lt;&gt;"",NOT(ISNUMBER(B35))),AND(ISNUMBER(B35),B35&lt;0),AND(STEUERUNG!$B$9&lt;&gt;"",OR(NOT(ISNUMBER(STEUERUNG!$B$9)),STEUERUNG!$B$9&lt;0))),"PRÜFEN","OK"))</x:f>
        <x:v>BUDGET FEHLT</x:v>
      </x:c>
    </x:row>
    <x:row r="36" ht="21" customHeight="1">
      <x:c r="A36" s="80" t="n">
        <x:f>EDATE(STEUERUNG!$B$7,27)</x:f>
        <x:v>47088</x:v>
      </x:c>
      <x:c r="B36" s="50"/>
      <x:c r="C36" s="76" t="str">
        <x:f>IF(B36&lt;&gt;"",B36,IF(STEUERUNG!$B$9="","",STEUERUNG!$B$9))</x:f>
      </x:c>
      <x:c r="D36" s="76" t="n">
        <x:f>SUMIFS(SONDERZAHLUNGEN!$E$9:$E$128,SONDERZAHLUNGEN!$C$9:$C$128,A36,SONDERZAHLUNGEN!$H$9:$H$128,"OK",SONDERZAHLUNGEN!$F$9:$F$128,"Ja")</x:f>
        <x:v>0</x:v>
      </x:c>
      <x:c r="E36" s="44"/>
      <x:c r="F36" s="72" t="str">
        <x:f>IF(AND(B36="",STEUERUNG!$B$9=""),"BUDGET FEHLT",IF(OR(AND(B36&lt;&gt;"",NOT(ISNUMBER(B36))),AND(ISNUMBER(B36),B36&lt;0),AND(STEUERUNG!$B$9&lt;&gt;"",OR(NOT(ISNUMBER(STEUERUNG!$B$9)),STEUERUNG!$B$9&lt;0))),"PRÜFEN","OK"))</x:f>
        <x:v>BUDGET FEHLT</x:v>
      </x:c>
    </x:row>
    <x:row r="37" ht="21" customHeight="1">
      <x:c r="A37" s="80" t="n">
        <x:f>EDATE(STEUERUNG!$B$7,28)</x:f>
        <x:v>47119</x:v>
      </x:c>
      <x:c r="B37" s="50"/>
      <x:c r="C37" s="76" t="str">
        <x:f>IF(B37&lt;&gt;"",B37,IF(STEUERUNG!$B$9="","",STEUERUNG!$B$9))</x:f>
      </x:c>
      <x:c r="D37" s="76" t="n">
        <x:f>SUMIFS(SONDERZAHLUNGEN!$E$9:$E$128,SONDERZAHLUNGEN!$C$9:$C$128,A37,SONDERZAHLUNGEN!$H$9:$H$128,"OK",SONDERZAHLUNGEN!$F$9:$F$128,"Ja")</x:f>
        <x:v>0</x:v>
      </x:c>
      <x:c r="E37" s="44"/>
      <x:c r="F37" s="72" t="str">
        <x:f>IF(AND(B37="",STEUERUNG!$B$9=""),"BUDGET FEHLT",IF(OR(AND(B37&lt;&gt;"",NOT(ISNUMBER(B37))),AND(ISNUMBER(B37),B37&lt;0),AND(STEUERUNG!$B$9&lt;&gt;"",OR(NOT(ISNUMBER(STEUERUNG!$B$9)),STEUERUNG!$B$9&lt;0))),"PRÜFEN","OK"))</x:f>
        <x:v>BUDGET FEHLT</x:v>
      </x:c>
    </x:row>
    <x:row r="38" ht="21" customHeight="1">
      <x:c r="A38" s="80" t="n">
        <x:f>EDATE(STEUERUNG!$B$7,29)</x:f>
        <x:v>47150</x:v>
      </x:c>
      <x:c r="B38" s="50"/>
      <x:c r="C38" s="76" t="str">
        <x:f>IF(B38&lt;&gt;"",B38,IF(STEUERUNG!$B$9="","",STEUERUNG!$B$9))</x:f>
      </x:c>
      <x:c r="D38" s="76" t="n">
        <x:f>SUMIFS(SONDERZAHLUNGEN!$E$9:$E$128,SONDERZAHLUNGEN!$C$9:$C$128,A38,SONDERZAHLUNGEN!$H$9:$H$128,"OK",SONDERZAHLUNGEN!$F$9:$F$128,"Ja")</x:f>
        <x:v>0</x:v>
      </x:c>
      <x:c r="E38" s="44"/>
      <x:c r="F38" s="72" t="str">
        <x:f>IF(AND(B38="",STEUERUNG!$B$9=""),"BUDGET FEHLT",IF(OR(AND(B38&lt;&gt;"",NOT(ISNUMBER(B38))),AND(ISNUMBER(B38),B38&lt;0),AND(STEUERUNG!$B$9&lt;&gt;"",OR(NOT(ISNUMBER(STEUERUNG!$B$9)),STEUERUNG!$B$9&lt;0))),"PRÜFEN","OK"))</x:f>
        <x:v>BUDGET FEHLT</x:v>
      </x:c>
    </x:row>
    <x:row r="39" ht="21" customHeight="1">
      <x:c r="A39" s="80" t="n">
        <x:f>EDATE(STEUERUNG!$B$7,30)</x:f>
        <x:v>47178</x:v>
      </x:c>
      <x:c r="B39" s="50"/>
      <x:c r="C39" s="76" t="str">
        <x:f>IF(B39&lt;&gt;"",B39,IF(STEUERUNG!$B$9="","",STEUERUNG!$B$9))</x:f>
      </x:c>
      <x:c r="D39" s="76" t="n">
        <x:f>SUMIFS(SONDERZAHLUNGEN!$E$9:$E$128,SONDERZAHLUNGEN!$C$9:$C$128,A39,SONDERZAHLUNGEN!$H$9:$H$128,"OK",SONDERZAHLUNGEN!$F$9:$F$128,"Ja")</x:f>
        <x:v>0</x:v>
      </x:c>
      <x:c r="E39" s="44"/>
      <x:c r="F39" s="72" t="str">
        <x:f>IF(AND(B39="",STEUERUNG!$B$9=""),"BUDGET FEHLT",IF(OR(AND(B39&lt;&gt;"",NOT(ISNUMBER(B39))),AND(ISNUMBER(B39),B39&lt;0),AND(STEUERUNG!$B$9&lt;&gt;"",OR(NOT(ISNUMBER(STEUERUNG!$B$9)),STEUERUNG!$B$9&lt;0))),"PRÜFEN","OK"))</x:f>
        <x:v>BUDGET FEHLT</x:v>
      </x:c>
    </x:row>
    <x:row r="40" ht="21" customHeight="1">
      <x:c r="A40" s="80" t="n">
        <x:f>EDATE(STEUERUNG!$B$7,31)</x:f>
        <x:v>47209</x:v>
      </x:c>
      <x:c r="B40" s="50"/>
      <x:c r="C40" s="76" t="str">
        <x:f>IF(B40&lt;&gt;"",B40,IF(STEUERUNG!$B$9="","",STEUERUNG!$B$9))</x:f>
      </x:c>
      <x:c r="D40" s="76" t="n">
        <x:f>SUMIFS(SONDERZAHLUNGEN!$E$9:$E$128,SONDERZAHLUNGEN!$C$9:$C$128,A40,SONDERZAHLUNGEN!$H$9:$H$128,"OK",SONDERZAHLUNGEN!$F$9:$F$128,"Ja")</x:f>
        <x:v>0</x:v>
      </x:c>
      <x:c r="E40" s="44"/>
      <x:c r="F40" s="72" t="str">
        <x:f>IF(AND(B40="",STEUERUNG!$B$9=""),"BUDGET FEHLT",IF(OR(AND(B40&lt;&gt;"",NOT(ISNUMBER(B40))),AND(ISNUMBER(B40),B40&lt;0),AND(STEUERUNG!$B$9&lt;&gt;"",OR(NOT(ISNUMBER(STEUERUNG!$B$9)),STEUERUNG!$B$9&lt;0))),"PRÜFEN","OK"))</x:f>
        <x:v>BUDGET FEHLT</x:v>
      </x:c>
    </x:row>
    <x:row r="41" ht="21" customHeight="1">
      <x:c r="A41" s="80" t="n">
        <x:f>EDATE(STEUERUNG!$B$7,32)</x:f>
        <x:v>47239</x:v>
      </x:c>
      <x:c r="B41" s="50"/>
      <x:c r="C41" s="76" t="str">
        <x:f>IF(B41&lt;&gt;"",B41,IF(STEUERUNG!$B$9="","",STEUERUNG!$B$9))</x:f>
      </x:c>
      <x:c r="D41" s="76" t="n">
        <x:f>SUMIFS(SONDERZAHLUNGEN!$E$9:$E$128,SONDERZAHLUNGEN!$C$9:$C$128,A41,SONDERZAHLUNGEN!$H$9:$H$128,"OK",SONDERZAHLUNGEN!$F$9:$F$128,"Ja")</x:f>
        <x:v>0</x:v>
      </x:c>
      <x:c r="E41" s="44"/>
      <x:c r="F41" s="72" t="str">
        <x:f>IF(AND(B41="",STEUERUNG!$B$9=""),"BUDGET FEHLT",IF(OR(AND(B41&lt;&gt;"",NOT(ISNUMBER(B41))),AND(ISNUMBER(B41),B41&lt;0),AND(STEUERUNG!$B$9&lt;&gt;"",OR(NOT(ISNUMBER(STEUERUNG!$B$9)),STEUERUNG!$B$9&lt;0))),"PRÜFEN","OK"))</x:f>
        <x:v>BUDGET FEHLT</x:v>
      </x:c>
    </x:row>
    <x:row r="42" ht="21" customHeight="1">
      <x:c r="A42" s="80" t="n">
        <x:f>EDATE(STEUERUNG!$B$7,33)</x:f>
        <x:v>47270</x:v>
      </x:c>
      <x:c r="B42" s="50"/>
      <x:c r="C42" s="76" t="str">
        <x:f>IF(B42&lt;&gt;"",B42,IF(STEUERUNG!$B$9="","",STEUERUNG!$B$9))</x:f>
      </x:c>
      <x:c r="D42" s="76" t="n">
        <x:f>SUMIFS(SONDERZAHLUNGEN!$E$9:$E$128,SONDERZAHLUNGEN!$C$9:$C$128,A42,SONDERZAHLUNGEN!$H$9:$H$128,"OK",SONDERZAHLUNGEN!$F$9:$F$128,"Ja")</x:f>
        <x:v>0</x:v>
      </x:c>
      <x:c r="E42" s="44"/>
      <x:c r="F42" s="72" t="str">
        <x:f>IF(AND(B42="",STEUERUNG!$B$9=""),"BUDGET FEHLT",IF(OR(AND(B42&lt;&gt;"",NOT(ISNUMBER(B42))),AND(ISNUMBER(B42),B42&lt;0),AND(STEUERUNG!$B$9&lt;&gt;"",OR(NOT(ISNUMBER(STEUERUNG!$B$9)),STEUERUNG!$B$9&lt;0))),"PRÜFEN","OK"))</x:f>
        <x:v>BUDGET FEHLT</x:v>
      </x:c>
    </x:row>
    <x:row r="43" ht="21" customHeight="1">
      <x:c r="A43" s="80" t="n">
        <x:f>EDATE(STEUERUNG!$B$7,34)</x:f>
        <x:v>47300</x:v>
      </x:c>
      <x:c r="B43" s="50"/>
      <x:c r="C43" s="76" t="str">
        <x:f>IF(B43&lt;&gt;"",B43,IF(STEUERUNG!$B$9="","",STEUERUNG!$B$9))</x:f>
      </x:c>
      <x:c r="D43" s="76" t="n">
        <x:f>SUMIFS(SONDERZAHLUNGEN!$E$9:$E$128,SONDERZAHLUNGEN!$C$9:$C$128,A43,SONDERZAHLUNGEN!$H$9:$H$128,"OK",SONDERZAHLUNGEN!$F$9:$F$128,"Ja")</x:f>
        <x:v>0</x:v>
      </x:c>
      <x:c r="E43" s="44"/>
      <x:c r="F43" s="72" t="str">
        <x:f>IF(AND(B43="",STEUERUNG!$B$9=""),"BUDGET FEHLT",IF(OR(AND(B43&lt;&gt;"",NOT(ISNUMBER(B43))),AND(ISNUMBER(B43),B43&lt;0),AND(STEUERUNG!$B$9&lt;&gt;"",OR(NOT(ISNUMBER(STEUERUNG!$B$9)),STEUERUNG!$B$9&lt;0))),"PRÜFEN","OK"))</x:f>
        <x:v>BUDGET FEHLT</x:v>
      </x:c>
    </x:row>
    <x:row r="44" ht="21" customHeight="1">
      <x:c r="A44" s="80" t="n">
        <x:f>EDATE(STEUERUNG!$B$7,35)</x:f>
        <x:v>47331</x:v>
      </x:c>
      <x:c r="B44" s="50"/>
      <x:c r="C44" s="76" t="str">
        <x:f>IF(B44&lt;&gt;"",B44,IF(STEUERUNG!$B$9="","",STEUERUNG!$B$9))</x:f>
      </x:c>
      <x:c r="D44" s="76" t="n">
        <x:f>SUMIFS(SONDERZAHLUNGEN!$E$9:$E$128,SONDERZAHLUNGEN!$C$9:$C$128,A44,SONDERZAHLUNGEN!$H$9:$H$128,"OK",SONDERZAHLUNGEN!$F$9:$F$128,"Ja")</x:f>
        <x:v>0</x:v>
      </x:c>
      <x:c r="E44" s="44"/>
      <x:c r="F44" s="72" t="str">
        <x:f>IF(AND(B44="",STEUERUNG!$B$9=""),"BUDGET FEHLT",IF(OR(AND(B44&lt;&gt;"",NOT(ISNUMBER(B44))),AND(ISNUMBER(B44),B44&lt;0),AND(STEUERUNG!$B$9&lt;&gt;"",OR(NOT(ISNUMBER(STEUERUNG!$B$9)),STEUERUNG!$B$9&lt;0))),"PRÜFEN","OK"))</x:f>
        <x:v>BUDGET FEHLT</x:v>
      </x:c>
    </x:row>
    <x:row r="45" ht="21" customHeight="1">
      <x:c r="A45" s="80" t="n">
        <x:f>EDATE(STEUERUNG!$B$7,36)</x:f>
        <x:v>47362</x:v>
      </x:c>
      <x:c r="B45" s="50"/>
      <x:c r="C45" s="76" t="str">
        <x:f>IF(B45&lt;&gt;"",B45,IF(STEUERUNG!$B$9="","",STEUERUNG!$B$9))</x:f>
      </x:c>
      <x:c r="D45" s="76" t="n">
        <x:f>SUMIFS(SONDERZAHLUNGEN!$E$9:$E$128,SONDERZAHLUNGEN!$C$9:$C$128,A45,SONDERZAHLUNGEN!$H$9:$H$128,"OK",SONDERZAHLUNGEN!$F$9:$F$128,"Ja")</x:f>
        <x:v>0</x:v>
      </x:c>
      <x:c r="E45" s="44"/>
      <x:c r="F45" s="72" t="str">
        <x:f>IF(AND(B45="",STEUERUNG!$B$9=""),"BUDGET FEHLT",IF(OR(AND(B45&lt;&gt;"",NOT(ISNUMBER(B45))),AND(ISNUMBER(B45),B45&lt;0),AND(STEUERUNG!$B$9&lt;&gt;"",OR(NOT(ISNUMBER(STEUERUNG!$B$9)),STEUERUNG!$B$9&lt;0))),"PRÜFEN","OK"))</x:f>
        <x:v>BUDGET FEHLT</x:v>
      </x:c>
    </x:row>
    <x:row r="46" ht="21" customHeight="1">
      <x:c r="A46" s="80" t="n">
        <x:f>EDATE(STEUERUNG!$B$7,37)</x:f>
        <x:v>47392</x:v>
      </x:c>
      <x:c r="B46" s="50"/>
      <x:c r="C46" s="76" t="str">
        <x:f>IF(B46&lt;&gt;"",B46,IF(STEUERUNG!$B$9="","",STEUERUNG!$B$9))</x:f>
      </x:c>
      <x:c r="D46" s="76" t="n">
        <x:f>SUMIFS(SONDERZAHLUNGEN!$E$9:$E$128,SONDERZAHLUNGEN!$C$9:$C$128,A46,SONDERZAHLUNGEN!$H$9:$H$128,"OK",SONDERZAHLUNGEN!$F$9:$F$128,"Ja")</x:f>
        <x:v>0</x:v>
      </x:c>
      <x:c r="E46" s="44"/>
      <x:c r="F46" s="72" t="str">
        <x:f>IF(AND(B46="",STEUERUNG!$B$9=""),"BUDGET FEHLT",IF(OR(AND(B46&lt;&gt;"",NOT(ISNUMBER(B46))),AND(ISNUMBER(B46),B46&lt;0),AND(STEUERUNG!$B$9&lt;&gt;"",OR(NOT(ISNUMBER(STEUERUNG!$B$9)),STEUERUNG!$B$9&lt;0))),"PRÜFEN","OK"))</x:f>
        <x:v>BUDGET FEHLT</x:v>
      </x:c>
    </x:row>
    <x:row r="47" ht="21" customHeight="1">
      <x:c r="A47" s="80" t="n">
        <x:f>EDATE(STEUERUNG!$B$7,38)</x:f>
        <x:v>47423</x:v>
      </x:c>
      <x:c r="B47" s="50"/>
      <x:c r="C47" s="76" t="str">
        <x:f>IF(B47&lt;&gt;"",B47,IF(STEUERUNG!$B$9="","",STEUERUNG!$B$9))</x:f>
      </x:c>
      <x:c r="D47" s="76" t="n">
        <x:f>SUMIFS(SONDERZAHLUNGEN!$E$9:$E$128,SONDERZAHLUNGEN!$C$9:$C$128,A47,SONDERZAHLUNGEN!$H$9:$H$128,"OK",SONDERZAHLUNGEN!$F$9:$F$128,"Ja")</x:f>
        <x:v>0</x:v>
      </x:c>
      <x:c r="E47" s="44"/>
      <x:c r="F47" s="72" t="str">
        <x:f>IF(AND(B47="",STEUERUNG!$B$9=""),"BUDGET FEHLT",IF(OR(AND(B47&lt;&gt;"",NOT(ISNUMBER(B47))),AND(ISNUMBER(B47),B47&lt;0),AND(STEUERUNG!$B$9&lt;&gt;"",OR(NOT(ISNUMBER(STEUERUNG!$B$9)),STEUERUNG!$B$9&lt;0))),"PRÜFEN","OK"))</x:f>
        <x:v>BUDGET FEHLT</x:v>
      </x:c>
    </x:row>
    <x:row r="48" ht="21" customHeight="1">
      <x:c r="A48" s="80" t="n">
        <x:f>EDATE(STEUERUNG!$B$7,39)</x:f>
        <x:v>47453</x:v>
      </x:c>
      <x:c r="B48" s="50"/>
      <x:c r="C48" s="76" t="str">
        <x:f>IF(B48&lt;&gt;"",B48,IF(STEUERUNG!$B$9="","",STEUERUNG!$B$9))</x:f>
      </x:c>
      <x:c r="D48" s="76" t="n">
        <x:f>SUMIFS(SONDERZAHLUNGEN!$E$9:$E$128,SONDERZAHLUNGEN!$C$9:$C$128,A48,SONDERZAHLUNGEN!$H$9:$H$128,"OK",SONDERZAHLUNGEN!$F$9:$F$128,"Ja")</x:f>
        <x:v>0</x:v>
      </x:c>
      <x:c r="E48" s="44"/>
      <x:c r="F48" s="72" t="str">
        <x:f>IF(AND(B48="",STEUERUNG!$B$9=""),"BUDGET FEHLT",IF(OR(AND(B48&lt;&gt;"",NOT(ISNUMBER(B48))),AND(ISNUMBER(B48),B48&lt;0),AND(STEUERUNG!$B$9&lt;&gt;"",OR(NOT(ISNUMBER(STEUERUNG!$B$9)),STEUERUNG!$B$9&lt;0))),"PRÜFEN","OK"))</x:f>
        <x:v>BUDGET FEHLT</x:v>
      </x:c>
    </x:row>
    <x:row r="49" ht="21" customHeight="1">
      <x:c r="A49" s="80" t="n">
        <x:f>EDATE(STEUERUNG!$B$7,40)</x:f>
        <x:v>47484</x:v>
      </x:c>
      <x:c r="B49" s="50"/>
      <x:c r="C49" s="76" t="str">
        <x:f>IF(B49&lt;&gt;"",B49,IF(STEUERUNG!$B$9="","",STEUERUNG!$B$9))</x:f>
      </x:c>
      <x:c r="D49" s="76" t="n">
        <x:f>SUMIFS(SONDERZAHLUNGEN!$E$9:$E$128,SONDERZAHLUNGEN!$C$9:$C$128,A49,SONDERZAHLUNGEN!$H$9:$H$128,"OK",SONDERZAHLUNGEN!$F$9:$F$128,"Ja")</x:f>
        <x:v>0</x:v>
      </x:c>
      <x:c r="E49" s="44"/>
      <x:c r="F49" s="72" t="str">
        <x:f>IF(AND(B49="",STEUERUNG!$B$9=""),"BUDGET FEHLT",IF(OR(AND(B49&lt;&gt;"",NOT(ISNUMBER(B49))),AND(ISNUMBER(B49),B49&lt;0),AND(STEUERUNG!$B$9&lt;&gt;"",OR(NOT(ISNUMBER(STEUERUNG!$B$9)),STEUERUNG!$B$9&lt;0))),"PRÜFEN","OK"))</x:f>
        <x:v>BUDGET FEHLT</x:v>
      </x:c>
    </x:row>
    <x:row r="50" ht="21" customHeight="1">
      <x:c r="A50" s="80" t="n">
        <x:f>EDATE(STEUERUNG!$B$7,41)</x:f>
        <x:v>47515</x:v>
      </x:c>
      <x:c r="B50" s="50"/>
      <x:c r="C50" s="76" t="str">
        <x:f>IF(B50&lt;&gt;"",B50,IF(STEUERUNG!$B$9="","",STEUERUNG!$B$9))</x:f>
      </x:c>
      <x:c r="D50" s="76" t="n">
        <x:f>SUMIFS(SONDERZAHLUNGEN!$E$9:$E$128,SONDERZAHLUNGEN!$C$9:$C$128,A50,SONDERZAHLUNGEN!$H$9:$H$128,"OK",SONDERZAHLUNGEN!$F$9:$F$128,"Ja")</x:f>
        <x:v>0</x:v>
      </x:c>
      <x:c r="E50" s="44"/>
      <x:c r="F50" s="72" t="str">
        <x:f>IF(AND(B50="",STEUERUNG!$B$9=""),"BUDGET FEHLT",IF(OR(AND(B50&lt;&gt;"",NOT(ISNUMBER(B50))),AND(ISNUMBER(B50),B50&lt;0),AND(STEUERUNG!$B$9&lt;&gt;"",OR(NOT(ISNUMBER(STEUERUNG!$B$9)),STEUERUNG!$B$9&lt;0))),"PRÜFEN","OK"))</x:f>
        <x:v>BUDGET FEHLT</x:v>
      </x:c>
    </x:row>
    <x:row r="51" ht="21" customHeight="1">
      <x:c r="A51" s="80" t="n">
        <x:f>EDATE(STEUERUNG!$B$7,42)</x:f>
        <x:v>47543</x:v>
      </x:c>
      <x:c r="B51" s="50"/>
      <x:c r="C51" s="76" t="str">
        <x:f>IF(B51&lt;&gt;"",B51,IF(STEUERUNG!$B$9="","",STEUERUNG!$B$9))</x:f>
      </x:c>
      <x:c r="D51" s="76" t="n">
        <x:f>SUMIFS(SONDERZAHLUNGEN!$E$9:$E$128,SONDERZAHLUNGEN!$C$9:$C$128,A51,SONDERZAHLUNGEN!$H$9:$H$128,"OK",SONDERZAHLUNGEN!$F$9:$F$128,"Ja")</x:f>
        <x:v>0</x:v>
      </x:c>
      <x:c r="E51" s="44"/>
      <x:c r="F51" s="72" t="str">
        <x:f>IF(AND(B51="",STEUERUNG!$B$9=""),"BUDGET FEHLT",IF(OR(AND(B51&lt;&gt;"",NOT(ISNUMBER(B51))),AND(ISNUMBER(B51),B51&lt;0),AND(STEUERUNG!$B$9&lt;&gt;"",OR(NOT(ISNUMBER(STEUERUNG!$B$9)),STEUERUNG!$B$9&lt;0))),"PRÜFEN","OK"))</x:f>
        <x:v>BUDGET FEHLT</x:v>
      </x:c>
    </x:row>
    <x:row r="52" ht="21" customHeight="1">
      <x:c r="A52" s="80" t="n">
        <x:f>EDATE(STEUERUNG!$B$7,43)</x:f>
        <x:v>47574</x:v>
      </x:c>
      <x:c r="B52" s="50"/>
      <x:c r="C52" s="76" t="str">
        <x:f>IF(B52&lt;&gt;"",B52,IF(STEUERUNG!$B$9="","",STEUERUNG!$B$9))</x:f>
      </x:c>
      <x:c r="D52" s="76" t="n">
        <x:f>SUMIFS(SONDERZAHLUNGEN!$E$9:$E$128,SONDERZAHLUNGEN!$C$9:$C$128,A52,SONDERZAHLUNGEN!$H$9:$H$128,"OK",SONDERZAHLUNGEN!$F$9:$F$128,"Ja")</x:f>
        <x:v>0</x:v>
      </x:c>
      <x:c r="E52" s="44"/>
      <x:c r="F52" s="72" t="str">
        <x:f>IF(AND(B52="",STEUERUNG!$B$9=""),"BUDGET FEHLT",IF(OR(AND(B52&lt;&gt;"",NOT(ISNUMBER(B52))),AND(ISNUMBER(B52),B52&lt;0),AND(STEUERUNG!$B$9&lt;&gt;"",OR(NOT(ISNUMBER(STEUERUNG!$B$9)),STEUERUNG!$B$9&lt;0))),"PRÜFEN","OK"))</x:f>
        <x:v>BUDGET FEHLT</x:v>
      </x:c>
    </x:row>
    <x:row r="53" ht="21" customHeight="1">
      <x:c r="A53" s="80" t="n">
        <x:f>EDATE(STEUERUNG!$B$7,44)</x:f>
        <x:v>47604</x:v>
      </x:c>
      <x:c r="B53" s="50"/>
      <x:c r="C53" s="76" t="str">
        <x:f>IF(B53&lt;&gt;"",B53,IF(STEUERUNG!$B$9="","",STEUERUNG!$B$9))</x:f>
      </x:c>
      <x:c r="D53" s="76" t="n">
        <x:f>SUMIFS(SONDERZAHLUNGEN!$E$9:$E$128,SONDERZAHLUNGEN!$C$9:$C$128,A53,SONDERZAHLUNGEN!$H$9:$H$128,"OK",SONDERZAHLUNGEN!$F$9:$F$128,"Ja")</x:f>
        <x:v>0</x:v>
      </x:c>
      <x:c r="E53" s="44"/>
      <x:c r="F53" s="72" t="str">
        <x:f>IF(AND(B53="",STEUERUNG!$B$9=""),"BUDGET FEHLT",IF(OR(AND(B53&lt;&gt;"",NOT(ISNUMBER(B53))),AND(ISNUMBER(B53),B53&lt;0),AND(STEUERUNG!$B$9&lt;&gt;"",OR(NOT(ISNUMBER(STEUERUNG!$B$9)),STEUERUNG!$B$9&lt;0))),"PRÜFEN","OK"))</x:f>
        <x:v>BUDGET FEHLT</x:v>
      </x:c>
    </x:row>
    <x:row r="54" ht="21" customHeight="1">
      <x:c r="A54" s="80" t="n">
        <x:f>EDATE(STEUERUNG!$B$7,45)</x:f>
        <x:v>47635</x:v>
      </x:c>
      <x:c r="B54" s="50"/>
      <x:c r="C54" s="76" t="str">
        <x:f>IF(B54&lt;&gt;"",B54,IF(STEUERUNG!$B$9="","",STEUERUNG!$B$9))</x:f>
      </x:c>
      <x:c r="D54" s="76" t="n">
        <x:f>SUMIFS(SONDERZAHLUNGEN!$E$9:$E$128,SONDERZAHLUNGEN!$C$9:$C$128,A54,SONDERZAHLUNGEN!$H$9:$H$128,"OK",SONDERZAHLUNGEN!$F$9:$F$128,"Ja")</x:f>
        <x:v>0</x:v>
      </x:c>
      <x:c r="E54" s="44"/>
      <x:c r="F54" s="72" t="str">
        <x:f>IF(AND(B54="",STEUERUNG!$B$9=""),"BUDGET FEHLT",IF(OR(AND(B54&lt;&gt;"",NOT(ISNUMBER(B54))),AND(ISNUMBER(B54),B54&lt;0),AND(STEUERUNG!$B$9&lt;&gt;"",OR(NOT(ISNUMBER(STEUERUNG!$B$9)),STEUERUNG!$B$9&lt;0))),"PRÜFEN","OK"))</x:f>
        <x:v>BUDGET FEHLT</x:v>
      </x:c>
    </x:row>
    <x:row r="55" ht="21" customHeight="1">
      <x:c r="A55" s="80" t="n">
        <x:f>EDATE(STEUERUNG!$B$7,46)</x:f>
        <x:v>47665</x:v>
      </x:c>
      <x:c r="B55" s="50"/>
      <x:c r="C55" s="76" t="str">
        <x:f>IF(B55&lt;&gt;"",B55,IF(STEUERUNG!$B$9="","",STEUERUNG!$B$9))</x:f>
      </x:c>
      <x:c r="D55" s="76" t="n">
        <x:f>SUMIFS(SONDERZAHLUNGEN!$E$9:$E$128,SONDERZAHLUNGEN!$C$9:$C$128,A55,SONDERZAHLUNGEN!$H$9:$H$128,"OK",SONDERZAHLUNGEN!$F$9:$F$128,"Ja")</x:f>
        <x:v>0</x:v>
      </x:c>
      <x:c r="E55" s="44"/>
      <x:c r="F55" s="72" t="str">
        <x:f>IF(AND(B55="",STEUERUNG!$B$9=""),"BUDGET FEHLT",IF(OR(AND(B55&lt;&gt;"",NOT(ISNUMBER(B55))),AND(ISNUMBER(B55),B55&lt;0),AND(STEUERUNG!$B$9&lt;&gt;"",OR(NOT(ISNUMBER(STEUERUNG!$B$9)),STEUERUNG!$B$9&lt;0))),"PRÜFEN","OK"))</x:f>
        <x:v>BUDGET FEHLT</x:v>
      </x:c>
    </x:row>
    <x:row r="56" ht="21" customHeight="1">
      <x:c r="A56" s="80" t="n">
        <x:f>EDATE(STEUERUNG!$B$7,47)</x:f>
        <x:v>47696</x:v>
      </x:c>
      <x:c r="B56" s="50"/>
      <x:c r="C56" s="76" t="str">
        <x:f>IF(B56&lt;&gt;"",B56,IF(STEUERUNG!$B$9="","",STEUERUNG!$B$9))</x:f>
      </x:c>
      <x:c r="D56" s="76" t="n">
        <x:f>SUMIFS(SONDERZAHLUNGEN!$E$9:$E$128,SONDERZAHLUNGEN!$C$9:$C$128,A56,SONDERZAHLUNGEN!$H$9:$H$128,"OK",SONDERZAHLUNGEN!$F$9:$F$128,"Ja")</x:f>
        <x:v>0</x:v>
      </x:c>
      <x:c r="E56" s="44"/>
      <x:c r="F56" s="72" t="str">
        <x:f>IF(AND(B56="",STEUERUNG!$B$9=""),"BUDGET FEHLT",IF(OR(AND(B56&lt;&gt;"",NOT(ISNUMBER(B56))),AND(ISNUMBER(B56),B56&lt;0),AND(STEUERUNG!$B$9&lt;&gt;"",OR(NOT(ISNUMBER(STEUERUNG!$B$9)),STEUERUNG!$B$9&lt;0))),"PRÜFEN","OK"))</x:f>
        <x:v>BUDGET FEHLT</x:v>
      </x:c>
    </x:row>
    <x:row r="57" ht="21" customHeight="1">
      <x:c r="A57" s="80" t="n">
        <x:f>EDATE(STEUERUNG!$B$7,48)</x:f>
        <x:v>47727</x:v>
      </x:c>
      <x:c r="B57" s="50"/>
      <x:c r="C57" s="76" t="str">
        <x:f>IF(B57&lt;&gt;"",B57,IF(STEUERUNG!$B$9="","",STEUERUNG!$B$9))</x:f>
      </x:c>
      <x:c r="D57" s="76" t="n">
        <x:f>SUMIFS(SONDERZAHLUNGEN!$E$9:$E$128,SONDERZAHLUNGEN!$C$9:$C$128,A57,SONDERZAHLUNGEN!$H$9:$H$128,"OK",SONDERZAHLUNGEN!$F$9:$F$128,"Ja")</x:f>
        <x:v>0</x:v>
      </x:c>
      <x:c r="E57" s="44"/>
      <x:c r="F57" s="72" t="str">
        <x:f>IF(AND(B57="",STEUERUNG!$B$9=""),"BUDGET FEHLT",IF(OR(AND(B57&lt;&gt;"",NOT(ISNUMBER(B57))),AND(ISNUMBER(B57),B57&lt;0),AND(STEUERUNG!$B$9&lt;&gt;"",OR(NOT(ISNUMBER(STEUERUNG!$B$9)),STEUERUNG!$B$9&lt;0))),"PRÜFEN","OK"))</x:f>
        <x:v>BUDGET FEHLT</x:v>
      </x:c>
    </x:row>
    <x:row r="58" ht="21" customHeight="1">
      <x:c r="A58" s="80" t="n">
        <x:f>EDATE(STEUERUNG!$B$7,49)</x:f>
        <x:v>47757</x:v>
      </x:c>
      <x:c r="B58" s="50"/>
      <x:c r="C58" s="76" t="str">
        <x:f>IF(B58&lt;&gt;"",B58,IF(STEUERUNG!$B$9="","",STEUERUNG!$B$9))</x:f>
      </x:c>
      <x:c r="D58" s="76" t="n">
        <x:f>SUMIFS(SONDERZAHLUNGEN!$E$9:$E$128,SONDERZAHLUNGEN!$C$9:$C$128,A58,SONDERZAHLUNGEN!$H$9:$H$128,"OK",SONDERZAHLUNGEN!$F$9:$F$128,"Ja")</x:f>
        <x:v>0</x:v>
      </x:c>
      <x:c r="E58" s="44"/>
      <x:c r="F58" s="72" t="str">
        <x:f>IF(AND(B58="",STEUERUNG!$B$9=""),"BUDGET FEHLT",IF(OR(AND(B58&lt;&gt;"",NOT(ISNUMBER(B58))),AND(ISNUMBER(B58),B58&lt;0),AND(STEUERUNG!$B$9&lt;&gt;"",OR(NOT(ISNUMBER(STEUERUNG!$B$9)),STEUERUNG!$B$9&lt;0))),"PRÜFEN","OK"))</x:f>
        <x:v>BUDGET FEHLT</x:v>
      </x:c>
    </x:row>
    <x:row r="59" ht="21" customHeight="1">
      <x:c r="A59" s="80" t="n">
        <x:f>EDATE(STEUERUNG!$B$7,50)</x:f>
        <x:v>47788</x:v>
      </x:c>
      <x:c r="B59" s="50"/>
      <x:c r="C59" s="76" t="str">
        <x:f>IF(B59&lt;&gt;"",B59,IF(STEUERUNG!$B$9="","",STEUERUNG!$B$9))</x:f>
      </x:c>
      <x:c r="D59" s="76" t="n">
        <x:f>SUMIFS(SONDERZAHLUNGEN!$E$9:$E$128,SONDERZAHLUNGEN!$C$9:$C$128,A59,SONDERZAHLUNGEN!$H$9:$H$128,"OK",SONDERZAHLUNGEN!$F$9:$F$128,"Ja")</x:f>
        <x:v>0</x:v>
      </x:c>
      <x:c r="E59" s="44"/>
      <x:c r="F59" s="72" t="str">
        <x:f>IF(AND(B59="",STEUERUNG!$B$9=""),"BUDGET FEHLT",IF(OR(AND(B59&lt;&gt;"",NOT(ISNUMBER(B59))),AND(ISNUMBER(B59),B59&lt;0),AND(STEUERUNG!$B$9&lt;&gt;"",OR(NOT(ISNUMBER(STEUERUNG!$B$9)),STEUERUNG!$B$9&lt;0))),"PRÜFEN","OK"))</x:f>
        <x:v>BUDGET FEHLT</x:v>
      </x:c>
    </x:row>
    <x:row r="60" ht="21" customHeight="1">
      <x:c r="A60" s="80" t="n">
        <x:f>EDATE(STEUERUNG!$B$7,51)</x:f>
        <x:v>47818</x:v>
      </x:c>
      <x:c r="B60" s="50"/>
      <x:c r="C60" s="76" t="str">
        <x:f>IF(B60&lt;&gt;"",B60,IF(STEUERUNG!$B$9="","",STEUERUNG!$B$9))</x:f>
      </x:c>
      <x:c r="D60" s="76" t="n">
        <x:f>SUMIFS(SONDERZAHLUNGEN!$E$9:$E$128,SONDERZAHLUNGEN!$C$9:$C$128,A60,SONDERZAHLUNGEN!$H$9:$H$128,"OK",SONDERZAHLUNGEN!$F$9:$F$128,"Ja")</x:f>
        <x:v>0</x:v>
      </x:c>
      <x:c r="E60" s="44"/>
      <x:c r="F60" s="72" t="str">
        <x:f>IF(AND(B60="",STEUERUNG!$B$9=""),"BUDGET FEHLT",IF(OR(AND(B60&lt;&gt;"",NOT(ISNUMBER(B60))),AND(ISNUMBER(B60),B60&lt;0),AND(STEUERUNG!$B$9&lt;&gt;"",OR(NOT(ISNUMBER(STEUERUNG!$B$9)),STEUERUNG!$B$9&lt;0))),"PRÜFEN","OK"))</x:f>
        <x:v>BUDGET FEHLT</x:v>
      </x:c>
    </x:row>
    <x:row r="61" ht="21" customHeight="1">
      <x:c r="A61" s="80" t="n">
        <x:f>EDATE(STEUERUNG!$B$7,52)</x:f>
        <x:v>47849</x:v>
      </x:c>
      <x:c r="B61" s="50"/>
      <x:c r="C61" s="76" t="str">
        <x:f>IF(B61&lt;&gt;"",B61,IF(STEUERUNG!$B$9="","",STEUERUNG!$B$9))</x:f>
      </x:c>
      <x:c r="D61" s="76" t="n">
        <x:f>SUMIFS(SONDERZAHLUNGEN!$E$9:$E$128,SONDERZAHLUNGEN!$C$9:$C$128,A61,SONDERZAHLUNGEN!$H$9:$H$128,"OK",SONDERZAHLUNGEN!$F$9:$F$128,"Ja")</x:f>
        <x:v>0</x:v>
      </x:c>
      <x:c r="E61" s="44"/>
      <x:c r="F61" s="72" t="str">
        <x:f>IF(AND(B61="",STEUERUNG!$B$9=""),"BUDGET FEHLT",IF(OR(AND(B61&lt;&gt;"",NOT(ISNUMBER(B61))),AND(ISNUMBER(B61),B61&lt;0),AND(STEUERUNG!$B$9&lt;&gt;"",OR(NOT(ISNUMBER(STEUERUNG!$B$9)),STEUERUNG!$B$9&lt;0))),"PRÜFEN","OK"))</x:f>
        <x:v>BUDGET FEHLT</x:v>
      </x:c>
    </x:row>
    <x:row r="62" ht="21" customHeight="1">
      <x:c r="A62" s="80" t="n">
        <x:f>EDATE(STEUERUNG!$B$7,53)</x:f>
        <x:v>47880</x:v>
      </x:c>
      <x:c r="B62" s="50"/>
      <x:c r="C62" s="76" t="str">
        <x:f>IF(B62&lt;&gt;"",B62,IF(STEUERUNG!$B$9="","",STEUERUNG!$B$9))</x:f>
      </x:c>
      <x:c r="D62" s="76" t="n">
        <x:f>SUMIFS(SONDERZAHLUNGEN!$E$9:$E$128,SONDERZAHLUNGEN!$C$9:$C$128,A62,SONDERZAHLUNGEN!$H$9:$H$128,"OK",SONDERZAHLUNGEN!$F$9:$F$128,"Ja")</x:f>
        <x:v>0</x:v>
      </x:c>
      <x:c r="E62" s="44"/>
      <x:c r="F62" s="72" t="str">
        <x:f>IF(AND(B62="",STEUERUNG!$B$9=""),"BUDGET FEHLT",IF(OR(AND(B62&lt;&gt;"",NOT(ISNUMBER(B62))),AND(ISNUMBER(B62),B62&lt;0),AND(STEUERUNG!$B$9&lt;&gt;"",OR(NOT(ISNUMBER(STEUERUNG!$B$9)),STEUERUNG!$B$9&lt;0))),"PRÜFEN","OK"))</x:f>
        <x:v>BUDGET FEHLT</x:v>
      </x:c>
    </x:row>
    <x:row r="63" ht="21" customHeight="1">
      <x:c r="A63" s="80" t="n">
        <x:f>EDATE(STEUERUNG!$B$7,54)</x:f>
        <x:v>47908</x:v>
      </x:c>
      <x:c r="B63" s="50"/>
      <x:c r="C63" s="76" t="str">
        <x:f>IF(B63&lt;&gt;"",B63,IF(STEUERUNG!$B$9="","",STEUERUNG!$B$9))</x:f>
      </x:c>
      <x:c r="D63" s="76" t="n">
        <x:f>SUMIFS(SONDERZAHLUNGEN!$E$9:$E$128,SONDERZAHLUNGEN!$C$9:$C$128,A63,SONDERZAHLUNGEN!$H$9:$H$128,"OK",SONDERZAHLUNGEN!$F$9:$F$128,"Ja")</x:f>
        <x:v>0</x:v>
      </x:c>
      <x:c r="E63" s="44"/>
      <x:c r="F63" s="72" t="str">
        <x:f>IF(AND(B63="",STEUERUNG!$B$9=""),"BUDGET FEHLT",IF(OR(AND(B63&lt;&gt;"",NOT(ISNUMBER(B63))),AND(ISNUMBER(B63),B63&lt;0),AND(STEUERUNG!$B$9&lt;&gt;"",OR(NOT(ISNUMBER(STEUERUNG!$B$9)),STEUERUNG!$B$9&lt;0))),"PRÜFEN","OK"))</x:f>
        <x:v>BUDGET FEHLT</x:v>
      </x:c>
    </x:row>
    <x:row r="64" ht="21" customHeight="1">
      <x:c r="A64" s="80" t="n">
        <x:f>EDATE(STEUERUNG!$B$7,55)</x:f>
        <x:v>47939</x:v>
      </x:c>
      <x:c r="B64" s="50"/>
      <x:c r="C64" s="76" t="str">
        <x:f>IF(B64&lt;&gt;"",B64,IF(STEUERUNG!$B$9="","",STEUERUNG!$B$9))</x:f>
      </x:c>
      <x:c r="D64" s="76" t="n">
        <x:f>SUMIFS(SONDERZAHLUNGEN!$E$9:$E$128,SONDERZAHLUNGEN!$C$9:$C$128,A64,SONDERZAHLUNGEN!$H$9:$H$128,"OK",SONDERZAHLUNGEN!$F$9:$F$128,"Ja")</x:f>
        <x:v>0</x:v>
      </x:c>
      <x:c r="E64" s="44"/>
      <x:c r="F64" s="72" t="str">
        <x:f>IF(AND(B64="",STEUERUNG!$B$9=""),"BUDGET FEHLT",IF(OR(AND(B64&lt;&gt;"",NOT(ISNUMBER(B64))),AND(ISNUMBER(B64),B64&lt;0),AND(STEUERUNG!$B$9&lt;&gt;"",OR(NOT(ISNUMBER(STEUERUNG!$B$9)),STEUERUNG!$B$9&lt;0))),"PRÜFEN","OK"))</x:f>
        <x:v>BUDGET FEHLT</x:v>
      </x:c>
    </x:row>
    <x:row r="65" ht="21" customHeight="1">
      <x:c r="A65" s="80" t="n">
        <x:f>EDATE(STEUERUNG!$B$7,56)</x:f>
        <x:v>47969</x:v>
      </x:c>
      <x:c r="B65" s="50"/>
      <x:c r="C65" s="76" t="str">
        <x:f>IF(B65&lt;&gt;"",B65,IF(STEUERUNG!$B$9="","",STEUERUNG!$B$9))</x:f>
      </x:c>
      <x:c r="D65" s="76" t="n">
        <x:f>SUMIFS(SONDERZAHLUNGEN!$E$9:$E$128,SONDERZAHLUNGEN!$C$9:$C$128,A65,SONDERZAHLUNGEN!$H$9:$H$128,"OK",SONDERZAHLUNGEN!$F$9:$F$128,"Ja")</x:f>
        <x:v>0</x:v>
      </x:c>
      <x:c r="E65" s="44"/>
      <x:c r="F65" s="72" t="str">
        <x:f>IF(AND(B65="",STEUERUNG!$B$9=""),"BUDGET FEHLT",IF(OR(AND(B65&lt;&gt;"",NOT(ISNUMBER(B65))),AND(ISNUMBER(B65),B65&lt;0),AND(STEUERUNG!$B$9&lt;&gt;"",OR(NOT(ISNUMBER(STEUERUNG!$B$9)),STEUERUNG!$B$9&lt;0))),"PRÜFEN","OK"))</x:f>
        <x:v>BUDGET FEHLT</x:v>
      </x:c>
    </x:row>
    <x:row r="66" ht="21" customHeight="1">
      <x:c r="A66" s="80" t="n">
        <x:f>EDATE(STEUERUNG!$B$7,57)</x:f>
        <x:v>48000</x:v>
      </x:c>
      <x:c r="B66" s="50"/>
      <x:c r="C66" s="76" t="str">
        <x:f>IF(B66&lt;&gt;"",B66,IF(STEUERUNG!$B$9="","",STEUERUNG!$B$9))</x:f>
      </x:c>
      <x:c r="D66" s="76" t="n">
        <x:f>SUMIFS(SONDERZAHLUNGEN!$E$9:$E$128,SONDERZAHLUNGEN!$C$9:$C$128,A66,SONDERZAHLUNGEN!$H$9:$H$128,"OK",SONDERZAHLUNGEN!$F$9:$F$128,"Ja")</x:f>
        <x:v>0</x:v>
      </x:c>
      <x:c r="E66" s="44"/>
      <x:c r="F66" s="72" t="str">
        <x:f>IF(AND(B66="",STEUERUNG!$B$9=""),"BUDGET FEHLT",IF(OR(AND(B66&lt;&gt;"",NOT(ISNUMBER(B66))),AND(ISNUMBER(B66),B66&lt;0),AND(STEUERUNG!$B$9&lt;&gt;"",OR(NOT(ISNUMBER(STEUERUNG!$B$9)),STEUERUNG!$B$9&lt;0))),"PRÜFEN","OK"))</x:f>
        <x:v>BUDGET FEHLT</x:v>
      </x:c>
    </x:row>
    <x:row r="67" ht="21" customHeight="1">
      <x:c r="A67" s="80" t="n">
        <x:f>EDATE(STEUERUNG!$B$7,58)</x:f>
        <x:v>48030</x:v>
      </x:c>
      <x:c r="B67" s="50"/>
      <x:c r="C67" s="76" t="str">
        <x:f>IF(B67&lt;&gt;"",B67,IF(STEUERUNG!$B$9="","",STEUERUNG!$B$9))</x:f>
      </x:c>
      <x:c r="D67" s="76" t="n">
        <x:f>SUMIFS(SONDERZAHLUNGEN!$E$9:$E$128,SONDERZAHLUNGEN!$C$9:$C$128,A67,SONDERZAHLUNGEN!$H$9:$H$128,"OK",SONDERZAHLUNGEN!$F$9:$F$128,"Ja")</x:f>
        <x:v>0</x:v>
      </x:c>
      <x:c r="E67" s="44"/>
      <x:c r="F67" s="72" t="str">
        <x:f>IF(AND(B67="",STEUERUNG!$B$9=""),"BUDGET FEHLT",IF(OR(AND(B67&lt;&gt;"",NOT(ISNUMBER(B67))),AND(ISNUMBER(B67),B67&lt;0),AND(STEUERUNG!$B$9&lt;&gt;"",OR(NOT(ISNUMBER(STEUERUNG!$B$9)),STEUERUNG!$B$9&lt;0))),"PRÜFEN","OK"))</x:f>
        <x:v>BUDGET FEHLT</x:v>
      </x:c>
    </x:row>
    <x:row r="68" ht="21" customHeight="1">
      <x:c r="A68" s="80" t="n">
        <x:f>EDATE(STEUERUNG!$B$7,59)</x:f>
        <x:v>48061</x:v>
      </x:c>
      <x:c r="B68" s="50"/>
      <x:c r="C68" s="76" t="str">
        <x:f>IF(B68&lt;&gt;"",B68,IF(STEUERUNG!$B$9="","",STEUERUNG!$B$9))</x:f>
      </x:c>
      <x:c r="D68" s="76" t="n">
        <x:f>SUMIFS(SONDERZAHLUNGEN!$E$9:$E$128,SONDERZAHLUNGEN!$C$9:$C$128,A68,SONDERZAHLUNGEN!$H$9:$H$128,"OK",SONDERZAHLUNGEN!$F$9:$F$128,"Ja")</x:f>
        <x:v>0</x:v>
      </x:c>
      <x:c r="E68" s="44"/>
      <x:c r="F68" s="72" t="str">
        <x:f>IF(AND(B68="",STEUERUNG!$B$9=""),"BUDGET FEHLT",IF(OR(AND(B68&lt;&gt;"",NOT(ISNUMBER(B68))),AND(ISNUMBER(B68),B68&lt;0),AND(STEUERUNG!$B$9&lt;&gt;"",OR(NOT(ISNUMBER(STEUERUNG!$B$9)),STEUERUNG!$B$9&lt;0))),"PRÜFEN","OK"))</x:f>
        <x:v>BUDGET FEHLT</x:v>
      </x:c>
    </x:row>
    <x:row r="69" ht="21" customHeight="1">
      <x:c r="A69" s="80" t="n">
        <x:f>EDATE(STEUERUNG!$B$7,60)</x:f>
        <x:v>48092</x:v>
      </x:c>
      <x:c r="B69" s="50"/>
      <x:c r="C69" s="76" t="str">
        <x:f>IF(B69&lt;&gt;"",B69,IF(STEUERUNG!$B$9="","",STEUERUNG!$B$9))</x:f>
      </x:c>
      <x:c r="D69" s="76" t="n">
        <x:f>SUMIFS(SONDERZAHLUNGEN!$E$9:$E$128,SONDERZAHLUNGEN!$C$9:$C$128,A69,SONDERZAHLUNGEN!$H$9:$H$128,"OK",SONDERZAHLUNGEN!$F$9:$F$128,"Ja")</x:f>
        <x:v>0</x:v>
      </x:c>
      <x:c r="E69" s="44"/>
      <x:c r="F69" s="72" t="str">
        <x:f>IF(AND(B69="",STEUERUNG!$B$9=""),"BUDGET FEHLT",IF(OR(AND(B69&lt;&gt;"",NOT(ISNUMBER(B69))),AND(ISNUMBER(B69),B69&lt;0),AND(STEUERUNG!$B$9&lt;&gt;"",OR(NOT(ISNUMBER(STEUERUNG!$B$9)),STEUERUNG!$B$9&lt;0))),"PRÜFEN","OK"))</x:f>
        <x:v>BUDGET FEHLT</x:v>
      </x:c>
    </x:row>
    <x:row r="70" ht="21" customHeight="1">
      <x:c r="A70" s="80" t="n">
        <x:f>EDATE(STEUERUNG!$B$7,61)</x:f>
        <x:v>48122</x:v>
      </x:c>
      <x:c r="B70" s="50"/>
      <x:c r="C70" s="76" t="str">
        <x:f>IF(B70&lt;&gt;"",B70,IF(STEUERUNG!$B$9="","",STEUERUNG!$B$9))</x:f>
      </x:c>
      <x:c r="D70" s="76" t="n">
        <x:f>SUMIFS(SONDERZAHLUNGEN!$E$9:$E$128,SONDERZAHLUNGEN!$C$9:$C$128,A70,SONDERZAHLUNGEN!$H$9:$H$128,"OK",SONDERZAHLUNGEN!$F$9:$F$128,"Ja")</x:f>
        <x:v>0</x:v>
      </x:c>
      <x:c r="E70" s="44"/>
      <x:c r="F70" s="72" t="str">
        <x:f>IF(AND(B70="",STEUERUNG!$B$9=""),"BUDGET FEHLT",IF(OR(AND(B70&lt;&gt;"",NOT(ISNUMBER(B70))),AND(ISNUMBER(B70),B70&lt;0),AND(STEUERUNG!$B$9&lt;&gt;"",OR(NOT(ISNUMBER(STEUERUNG!$B$9)),STEUERUNG!$B$9&lt;0))),"PRÜFEN","OK"))</x:f>
        <x:v>BUDGET FEHLT</x:v>
      </x:c>
    </x:row>
    <x:row r="71" ht="21" customHeight="1">
      <x:c r="A71" s="80" t="n">
        <x:f>EDATE(STEUERUNG!$B$7,62)</x:f>
        <x:v>48153</x:v>
      </x:c>
      <x:c r="B71" s="50"/>
      <x:c r="C71" s="76" t="str">
        <x:f>IF(B71&lt;&gt;"",B71,IF(STEUERUNG!$B$9="","",STEUERUNG!$B$9))</x:f>
      </x:c>
      <x:c r="D71" s="76" t="n">
        <x:f>SUMIFS(SONDERZAHLUNGEN!$E$9:$E$128,SONDERZAHLUNGEN!$C$9:$C$128,A71,SONDERZAHLUNGEN!$H$9:$H$128,"OK",SONDERZAHLUNGEN!$F$9:$F$128,"Ja")</x:f>
        <x:v>0</x:v>
      </x:c>
      <x:c r="E71" s="44"/>
      <x:c r="F71" s="72" t="str">
        <x:f>IF(AND(B71="",STEUERUNG!$B$9=""),"BUDGET FEHLT",IF(OR(AND(B71&lt;&gt;"",NOT(ISNUMBER(B71))),AND(ISNUMBER(B71),B71&lt;0),AND(STEUERUNG!$B$9&lt;&gt;"",OR(NOT(ISNUMBER(STEUERUNG!$B$9)),STEUERUNG!$B$9&lt;0))),"PRÜFEN","OK"))</x:f>
        <x:v>BUDGET FEHLT</x:v>
      </x:c>
    </x:row>
    <x:row r="72" ht="21" customHeight="1">
      <x:c r="A72" s="80" t="n">
        <x:f>EDATE(STEUERUNG!$B$7,63)</x:f>
        <x:v>48183</x:v>
      </x:c>
      <x:c r="B72" s="50"/>
      <x:c r="C72" s="76" t="str">
        <x:f>IF(B72&lt;&gt;"",B72,IF(STEUERUNG!$B$9="","",STEUERUNG!$B$9))</x:f>
      </x:c>
      <x:c r="D72" s="76" t="n">
        <x:f>SUMIFS(SONDERZAHLUNGEN!$E$9:$E$128,SONDERZAHLUNGEN!$C$9:$C$128,A72,SONDERZAHLUNGEN!$H$9:$H$128,"OK",SONDERZAHLUNGEN!$F$9:$F$128,"Ja")</x:f>
        <x:v>0</x:v>
      </x:c>
      <x:c r="E72" s="44"/>
      <x:c r="F72" s="72" t="str">
        <x:f>IF(AND(B72="",STEUERUNG!$B$9=""),"BUDGET FEHLT",IF(OR(AND(B72&lt;&gt;"",NOT(ISNUMBER(B72))),AND(ISNUMBER(B72),B72&lt;0),AND(STEUERUNG!$B$9&lt;&gt;"",OR(NOT(ISNUMBER(STEUERUNG!$B$9)),STEUERUNG!$B$9&lt;0))),"PRÜFEN","OK"))</x:f>
        <x:v>BUDGET FEHLT</x:v>
      </x:c>
    </x:row>
    <x:row r="73" ht="21" customHeight="1">
      <x:c r="A73" s="80" t="n">
        <x:f>EDATE(STEUERUNG!$B$7,64)</x:f>
        <x:v>48214</x:v>
      </x:c>
      <x:c r="B73" s="50"/>
      <x:c r="C73" s="76" t="str">
        <x:f>IF(B73&lt;&gt;"",B73,IF(STEUERUNG!$B$9="","",STEUERUNG!$B$9))</x:f>
      </x:c>
      <x:c r="D73" s="76" t="n">
        <x:f>SUMIFS(SONDERZAHLUNGEN!$E$9:$E$128,SONDERZAHLUNGEN!$C$9:$C$128,A73,SONDERZAHLUNGEN!$H$9:$H$128,"OK",SONDERZAHLUNGEN!$F$9:$F$128,"Ja")</x:f>
        <x:v>0</x:v>
      </x:c>
      <x:c r="E73" s="44"/>
      <x:c r="F73" s="72" t="str">
        <x:f>IF(AND(B73="",STEUERUNG!$B$9=""),"BUDGET FEHLT",IF(OR(AND(B73&lt;&gt;"",NOT(ISNUMBER(B73))),AND(ISNUMBER(B73),B73&lt;0),AND(STEUERUNG!$B$9&lt;&gt;"",OR(NOT(ISNUMBER(STEUERUNG!$B$9)),STEUERUNG!$B$9&lt;0))),"PRÜFEN","OK"))</x:f>
        <x:v>BUDGET FEHLT</x:v>
      </x:c>
    </x:row>
    <x:row r="74" ht="21" customHeight="1">
      <x:c r="A74" s="80" t="n">
        <x:f>EDATE(STEUERUNG!$B$7,65)</x:f>
        <x:v>48245</x:v>
      </x:c>
      <x:c r="B74" s="50"/>
      <x:c r="C74" s="76" t="str">
        <x:f>IF(B74&lt;&gt;"",B74,IF(STEUERUNG!$B$9="","",STEUERUNG!$B$9))</x:f>
      </x:c>
      <x:c r="D74" s="76" t="n">
        <x:f>SUMIFS(SONDERZAHLUNGEN!$E$9:$E$128,SONDERZAHLUNGEN!$C$9:$C$128,A74,SONDERZAHLUNGEN!$H$9:$H$128,"OK",SONDERZAHLUNGEN!$F$9:$F$128,"Ja")</x:f>
        <x:v>0</x:v>
      </x:c>
      <x:c r="E74" s="44"/>
      <x:c r="F74" s="72" t="str">
        <x:f>IF(AND(B74="",STEUERUNG!$B$9=""),"BUDGET FEHLT",IF(OR(AND(B74&lt;&gt;"",NOT(ISNUMBER(B74))),AND(ISNUMBER(B74),B74&lt;0),AND(STEUERUNG!$B$9&lt;&gt;"",OR(NOT(ISNUMBER(STEUERUNG!$B$9)),STEUERUNG!$B$9&lt;0))),"PRÜFEN","OK"))</x:f>
        <x:v>BUDGET FEHLT</x:v>
      </x:c>
    </x:row>
    <x:row r="75" ht="21" customHeight="1">
      <x:c r="A75" s="80" t="n">
        <x:f>EDATE(STEUERUNG!$B$7,66)</x:f>
        <x:v>48274</x:v>
      </x:c>
      <x:c r="B75" s="50"/>
      <x:c r="C75" s="76" t="str">
        <x:f>IF(B75&lt;&gt;"",B75,IF(STEUERUNG!$B$9="","",STEUERUNG!$B$9))</x:f>
      </x:c>
      <x:c r="D75" s="76" t="n">
        <x:f>SUMIFS(SONDERZAHLUNGEN!$E$9:$E$128,SONDERZAHLUNGEN!$C$9:$C$128,A75,SONDERZAHLUNGEN!$H$9:$H$128,"OK",SONDERZAHLUNGEN!$F$9:$F$128,"Ja")</x:f>
        <x:v>0</x:v>
      </x:c>
      <x:c r="E75" s="44"/>
      <x:c r="F75" s="72" t="str">
        <x:f>IF(AND(B75="",STEUERUNG!$B$9=""),"BUDGET FEHLT",IF(OR(AND(B75&lt;&gt;"",NOT(ISNUMBER(B75))),AND(ISNUMBER(B75),B75&lt;0),AND(STEUERUNG!$B$9&lt;&gt;"",OR(NOT(ISNUMBER(STEUERUNG!$B$9)),STEUERUNG!$B$9&lt;0))),"PRÜFEN","OK"))</x:f>
        <x:v>BUDGET FEHLT</x:v>
      </x:c>
    </x:row>
    <x:row r="76" ht="21" customHeight="1">
      <x:c r="A76" s="80" t="n">
        <x:f>EDATE(STEUERUNG!$B$7,67)</x:f>
        <x:v>48305</x:v>
      </x:c>
      <x:c r="B76" s="50"/>
      <x:c r="C76" s="76" t="str">
        <x:f>IF(B76&lt;&gt;"",B76,IF(STEUERUNG!$B$9="","",STEUERUNG!$B$9))</x:f>
      </x:c>
      <x:c r="D76" s="76" t="n">
        <x:f>SUMIFS(SONDERZAHLUNGEN!$E$9:$E$128,SONDERZAHLUNGEN!$C$9:$C$128,A76,SONDERZAHLUNGEN!$H$9:$H$128,"OK",SONDERZAHLUNGEN!$F$9:$F$128,"Ja")</x:f>
        <x:v>0</x:v>
      </x:c>
      <x:c r="E76" s="44"/>
      <x:c r="F76" s="72" t="str">
        <x:f>IF(AND(B76="",STEUERUNG!$B$9=""),"BUDGET FEHLT",IF(OR(AND(B76&lt;&gt;"",NOT(ISNUMBER(B76))),AND(ISNUMBER(B76),B76&lt;0),AND(STEUERUNG!$B$9&lt;&gt;"",OR(NOT(ISNUMBER(STEUERUNG!$B$9)),STEUERUNG!$B$9&lt;0))),"PRÜFEN","OK"))</x:f>
        <x:v>BUDGET FEHLT</x:v>
      </x:c>
    </x:row>
    <x:row r="77" ht="21" customHeight="1">
      <x:c r="A77" s="80" t="n">
        <x:f>EDATE(STEUERUNG!$B$7,68)</x:f>
        <x:v>48335</x:v>
      </x:c>
      <x:c r="B77" s="50"/>
      <x:c r="C77" s="76" t="str">
        <x:f>IF(B77&lt;&gt;"",B77,IF(STEUERUNG!$B$9="","",STEUERUNG!$B$9))</x:f>
      </x:c>
      <x:c r="D77" s="76" t="n">
        <x:f>SUMIFS(SONDERZAHLUNGEN!$E$9:$E$128,SONDERZAHLUNGEN!$C$9:$C$128,A77,SONDERZAHLUNGEN!$H$9:$H$128,"OK",SONDERZAHLUNGEN!$F$9:$F$128,"Ja")</x:f>
        <x:v>0</x:v>
      </x:c>
      <x:c r="E77" s="44"/>
      <x:c r="F77" s="72" t="str">
        <x:f>IF(AND(B77="",STEUERUNG!$B$9=""),"BUDGET FEHLT",IF(OR(AND(B77&lt;&gt;"",NOT(ISNUMBER(B77))),AND(ISNUMBER(B77),B77&lt;0),AND(STEUERUNG!$B$9&lt;&gt;"",OR(NOT(ISNUMBER(STEUERUNG!$B$9)),STEUERUNG!$B$9&lt;0))),"PRÜFEN","OK"))</x:f>
        <x:v>BUDGET FEHLT</x:v>
      </x:c>
    </x:row>
    <x:row r="78" ht="21" customHeight="1">
      <x:c r="A78" s="80" t="n">
        <x:f>EDATE(STEUERUNG!$B$7,69)</x:f>
        <x:v>48366</x:v>
      </x:c>
      <x:c r="B78" s="50"/>
      <x:c r="C78" s="76" t="str">
        <x:f>IF(B78&lt;&gt;"",B78,IF(STEUERUNG!$B$9="","",STEUERUNG!$B$9))</x:f>
      </x:c>
      <x:c r="D78" s="76" t="n">
        <x:f>SUMIFS(SONDERZAHLUNGEN!$E$9:$E$128,SONDERZAHLUNGEN!$C$9:$C$128,A78,SONDERZAHLUNGEN!$H$9:$H$128,"OK",SONDERZAHLUNGEN!$F$9:$F$128,"Ja")</x:f>
        <x:v>0</x:v>
      </x:c>
      <x:c r="E78" s="44"/>
      <x:c r="F78" s="72" t="str">
        <x:f>IF(AND(B78="",STEUERUNG!$B$9=""),"BUDGET FEHLT",IF(OR(AND(B78&lt;&gt;"",NOT(ISNUMBER(B78))),AND(ISNUMBER(B78),B78&lt;0),AND(STEUERUNG!$B$9&lt;&gt;"",OR(NOT(ISNUMBER(STEUERUNG!$B$9)),STEUERUNG!$B$9&lt;0))),"PRÜFEN","OK"))</x:f>
        <x:v>BUDGET FEHLT</x:v>
      </x:c>
    </x:row>
    <x:row r="79" ht="21" customHeight="1">
      <x:c r="A79" s="80" t="n">
        <x:f>EDATE(STEUERUNG!$B$7,70)</x:f>
        <x:v>48396</x:v>
      </x:c>
      <x:c r="B79" s="50"/>
      <x:c r="C79" s="76" t="str">
        <x:f>IF(B79&lt;&gt;"",B79,IF(STEUERUNG!$B$9="","",STEUERUNG!$B$9))</x:f>
      </x:c>
      <x:c r="D79" s="76" t="n">
        <x:f>SUMIFS(SONDERZAHLUNGEN!$E$9:$E$128,SONDERZAHLUNGEN!$C$9:$C$128,A79,SONDERZAHLUNGEN!$H$9:$H$128,"OK",SONDERZAHLUNGEN!$F$9:$F$128,"Ja")</x:f>
        <x:v>0</x:v>
      </x:c>
      <x:c r="E79" s="44"/>
      <x:c r="F79" s="72" t="str">
        <x:f>IF(AND(B79="",STEUERUNG!$B$9=""),"BUDGET FEHLT",IF(OR(AND(B79&lt;&gt;"",NOT(ISNUMBER(B79))),AND(ISNUMBER(B79),B79&lt;0),AND(STEUERUNG!$B$9&lt;&gt;"",OR(NOT(ISNUMBER(STEUERUNG!$B$9)),STEUERUNG!$B$9&lt;0))),"PRÜFEN","OK"))</x:f>
        <x:v>BUDGET FEHLT</x:v>
      </x:c>
    </x:row>
    <x:row r="80" ht="21" customHeight="1">
      <x:c r="A80" s="80" t="n">
        <x:f>EDATE(STEUERUNG!$B$7,71)</x:f>
        <x:v>48427</x:v>
      </x:c>
      <x:c r="B80" s="50"/>
      <x:c r="C80" s="76" t="str">
        <x:f>IF(B80&lt;&gt;"",B80,IF(STEUERUNG!$B$9="","",STEUERUNG!$B$9))</x:f>
      </x:c>
      <x:c r="D80" s="76" t="n">
        <x:f>SUMIFS(SONDERZAHLUNGEN!$E$9:$E$128,SONDERZAHLUNGEN!$C$9:$C$128,A80,SONDERZAHLUNGEN!$H$9:$H$128,"OK",SONDERZAHLUNGEN!$F$9:$F$128,"Ja")</x:f>
        <x:v>0</x:v>
      </x:c>
      <x:c r="E80" s="44"/>
      <x:c r="F80" s="72" t="str">
        <x:f>IF(AND(B80="",STEUERUNG!$B$9=""),"BUDGET FEHLT",IF(OR(AND(B80&lt;&gt;"",NOT(ISNUMBER(B80))),AND(ISNUMBER(B80),B80&lt;0),AND(STEUERUNG!$B$9&lt;&gt;"",OR(NOT(ISNUMBER(STEUERUNG!$B$9)),STEUERUNG!$B$9&lt;0))),"PRÜFEN","OK"))</x:f>
        <x:v>BUDGET FEHLT</x:v>
      </x:c>
    </x:row>
    <x:row r="81" ht="21" customHeight="1"/>
    <x:row r="82" ht="21" customHeight="1"/>
    <x:row r="83" ht="21" customHeight="1"/>
    <x:row r="84" ht="21" customHeight="1"/>
    <x:row r="85" ht="21" customHeight="1"/>
    <x:row r="86" ht="29" customHeight="1">
      <x:c r="A86" s="16" t="str">
        <x:v>BUDGET-KONTROLLE</x:v>
      </x:c>
      <x:c r="B86" s="16"/>
      <x:c r="C86" s="16"/>
      <x:c r="D86" s="16"/>
      <x:c r="E86" s="16"/>
      <x:c r="F86" s="16"/>
    </x:row>
    <x:row r="87" ht="21" customHeight="1"/>
    <x:row r="88" ht="42" customHeight="1">
      <x:c r="A88" s="37" t="str">
        <x:v>Wenn Mindestzahlungen das gültige Monatsbudget übersteigen, kennzeichnet VERGLEICH den Monat als unterfinanziert. Das Modell simuliert die Raten nur rechnerisch weiter.</x:v>
      </x:c>
      <x:c r="B88" s="37"/>
      <x:c r="C88" s="37"/>
      <x:c r="D88" s="37"/>
      <x:c r="E88" s="37"/>
      <x:c r="F88" s="37"/>
    </x:row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</x:sheetData>
  <x:mergeCells>
    <x:mergeCell ref="A1:F2"/>
    <x:mergeCell ref="A3:F3"/>
    <x:mergeCell ref="A5:F5"/>
    <x:mergeCell ref="A86:F86"/>
    <x:mergeCell ref="A88:F88"/>
  </x:mergeCells>
  <x:conditionalFormatting sqref="F9:F80">
    <x:cfRule type="expression" dxfId="5" priority="1">
      <x:formula>F9&lt;&gt;"OK"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9" hidden="0" customWidth="1"/>
    <x:col min="3" max="3" width="13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20" hidden="0" customWidth="1"/>
    <x:col min="10" max="10" width="19" hidden="0" customWidth="1"/>
    <x:col min="11" max="11" width="20" hidden="0" customWidth="1"/>
    <x:col min="12" max="12" width="3" hidden="0" customWidth="1"/>
    <x:col min="13" max="13" width="10" hidden="0" customWidth="1"/>
    <x:col min="14" max="14" width="17" hidden="0" customWidth="1"/>
    <x:col min="15" max="15" width="30" hidden="0" customWidth="1"/>
    <x:col min="16" max="16" width="17" hidden="0" customWidth="1"/>
    <x:col min="17" max="17" width="26" hidden="0" customWidth="1"/>
  </x:cols>
  <x:sheetData>
    <x:row r="1" ht="29" customHeight="1">
      <x:c r="A1" s="4" t="str">
        <x:v>NURGELD.DE  /  SCHNEEBALL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8" customHeight="1">
      <x:c r="A3" s="10" t="str">
        <x:v>MONATLICHER GLÄUBIGERPLAN  ·  20 Forderungen je Monat  ·  72 Monate  ·  Berechnungen nicht überschreiben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</x:row>
    <x:row r="4" ht="21" customHeight="1"/>
    <x:row r="5" ht="42" customHeight="1">
      <x:c r="A5" s="37" t="str">
        <x:v>Rechenweg: Anfangssaldo + Monatszinsen – Mindestrate – zusätzliche Sonderzahlung – Zusatzrate = Restsaldo. Sonderzahlungen sind nicht Teil des Monatsbudgets.</x:v>
      </x:c>
      <x:c r="B5" s="37"/>
      <x:c r="C5" s="37"/>
      <x:c r="D5" s="37"/>
      <x:c r="E5" s="37"/>
      <x:c r="F5" s="37"/>
      <x:c r="G5" s="37"/>
      <x:c r="H5" s="37"/>
      <x:c r="I5" s="37"/>
      <x:c r="J5" s="37"/>
      <x:c r="K5" s="37"/>
    </x:row>
    <x:row r="6" ht="21" customHeight="1"/>
    <x:row r="7" ht="21" customHeight="1"/>
    <x:row r="8" ht="41" customHeight="1">
      <x:c r="A8" s="66" t="str">
        <x:v>Monat</x:v>
      </x:c>
      <x:c r="B8" s="66" t="str">
        <x:v>Rang</x:v>
      </x:c>
      <x:c r="C8" s="66" t="str">
        <x:v>Gläubiger-ID</x:v>
      </x:c>
      <x:c r="D8" s="66" t="str">
        <x:v>Anfang (€)</x:v>
      </x:c>
      <x:c r="E8" s="66" t="str">
        <x:v>Zinsen (€)</x:v>
      </x:c>
      <x:c r="F8" s="66" t="str">
        <x:v>Mindestrate (€)</x:v>
      </x:c>
      <x:c r="G8" s="66" t="str">
        <x:v>Sonder (€)</x:v>
      </x:c>
      <x:c r="H8" s="66" t="str">
        <x:v>Extra (€)</x:v>
      </x:c>
      <x:c r="I8" s="66" t="str">
        <x:v>Rest (€)</x:v>
      </x:c>
      <x:c r="J8" s="66" t="str">
        <x:v>Gesamt gezahlt (€)</x:v>
      </x:c>
      <x:c r="K8" s="66" t="str">
        <x:v>Sonder ungenutzt (€)</x:v>
      </x:c>
      <x:c r="M8" s="83" t="str">
        <x:v>Rang</x:v>
      </x:c>
      <x:c r="N8" s="83" t="str">
        <x:v>Gläubiger-ID</x:v>
      </x:c>
      <x:c r="O8" s="83" t="str">
        <x:v>Gläubiger (auto)</x:v>
      </x:c>
      <x:c r="P8" s="83" t="str">
        <x:v>Zins p.a.</x:v>
      </x:c>
      <x:c r="Q8" s="83" t="str">
        <x:v>Vereinbarte Mindestrate (€)</x:v>
      </x:c>
    </x:row>
    <x:row r="9" ht="21" customHeight="1">
      <x:c r="M9" t="n">
        <x:v>1</x:v>
      </x:c>
      <x:c r="N9" t="str">
        <x:f>IFERROR(INDEX(FORDERUNGEN!$A$9:$A$28,MATCH(M9,FORDERUNGEN!$L$9:$L$28,0)),"")</x:f>
      </x:c>
      <x:c r="O9" t="str">
        <x:f>IF(N9="","",INDEX(FORDERUNGEN!$B$9:$B$28,MATCH(N9,FORDERUNGEN!$A$9:$A$28,0)))</x:f>
      </x:c>
      <x:c r="P9" s="86" t="str">
        <x:f>IF(N9="","",INDEX(FORDERUNGEN!$F$9:$F$28,MATCH(N9,FORDERUNGEN!$A$9:$A$28,0)))</x:f>
      </x:c>
      <x:c r="Q9" s="88" t="str">
        <x:f>IF(N9="","",INDEX(FORDERUNGEN!$G$9:$G$28,MATCH(N9,FORDERUNGEN!$A$9:$A$28,0)))</x:f>
      </x:c>
    </x:row>
    <x:row r="10" ht="21" customHeight="1">
      <x:c r="M10" t="n">
        <x:v>2</x:v>
      </x:c>
      <x:c r="N10" t="str">
        <x:f>IFERROR(INDEX(FORDERUNGEN!$A$9:$A$28,MATCH(M10,FORDERUNGEN!$L$9:$L$28,0)),"")</x:f>
      </x:c>
      <x:c r="O10" t="str">
        <x:f>IF(N10="","",INDEX(FORDERUNGEN!$B$9:$B$28,MATCH(N10,FORDERUNGEN!$A$9:$A$28,0)))</x:f>
      </x:c>
      <x:c r="P10" s="86" t="str">
        <x:f>IF(N10="","",INDEX(FORDERUNGEN!$F$9:$F$28,MATCH(N10,FORDERUNGEN!$A$9:$A$28,0)))</x:f>
      </x:c>
      <x:c r="Q10" s="88" t="str">
        <x:f>IF(N10="","",INDEX(FORDERUNGEN!$G$9:$G$28,MATCH(N10,FORDERUNGEN!$A$9:$A$28,0)))</x:f>
      </x:c>
    </x:row>
    <x:row r="11" ht="21" customHeight="1">
      <x:c r="M11" t="n">
        <x:v>3</x:v>
      </x:c>
      <x:c r="N11" t="str">
        <x:f>IFERROR(INDEX(FORDERUNGEN!$A$9:$A$28,MATCH(M11,FORDERUNGEN!$L$9:$L$28,0)),"")</x:f>
      </x:c>
      <x:c r="O11" t="str">
        <x:f>IF(N11="","",INDEX(FORDERUNGEN!$B$9:$B$28,MATCH(N11,FORDERUNGEN!$A$9:$A$28,0)))</x:f>
      </x:c>
      <x:c r="P11" s="86" t="str">
        <x:f>IF(N11="","",INDEX(FORDERUNGEN!$F$9:$F$28,MATCH(N11,FORDERUNGEN!$A$9:$A$28,0)))</x:f>
      </x:c>
      <x:c r="Q11" s="88" t="str">
        <x:f>IF(N11="","",INDEX(FORDERUNGEN!$G$9:$G$28,MATCH(N11,FORDERUNGEN!$A$9:$A$28,0)))</x:f>
      </x:c>
    </x:row>
    <x:row r="12" ht="21" customHeight="1">
      <x:c r="M12" t="n">
        <x:v>4</x:v>
      </x:c>
      <x:c r="N12" t="str">
        <x:f>IFERROR(INDEX(FORDERUNGEN!$A$9:$A$28,MATCH(M12,FORDERUNGEN!$L$9:$L$28,0)),"")</x:f>
      </x:c>
      <x:c r="O12" t="str">
        <x:f>IF(N12="","",INDEX(FORDERUNGEN!$B$9:$B$28,MATCH(N12,FORDERUNGEN!$A$9:$A$28,0)))</x:f>
      </x:c>
      <x:c r="P12" s="86" t="str">
        <x:f>IF(N12="","",INDEX(FORDERUNGEN!$F$9:$F$28,MATCH(N12,FORDERUNGEN!$A$9:$A$28,0)))</x:f>
      </x:c>
      <x:c r="Q12" s="88" t="str">
        <x:f>IF(N12="","",INDEX(FORDERUNGEN!$G$9:$G$28,MATCH(N12,FORDERUNGEN!$A$9:$A$28,0)))</x:f>
      </x:c>
    </x:row>
    <x:row r="13" ht="21" customHeight="1">
      <x:c r="M13" t="n">
        <x:v>5</x:v>
      </x:c>
      <x:c r="N13" t="str">
        <x:f>IFERROR(INDEX(FORDERUNGEN!$A$9:$A$28,MATCH(M13,FORDERUNGEN!$L$9:$L$28,0)),"")</x:f>
      </x:c>
      <x:c r="O13" t="str">
        <x:f>IF(N13="","",INDEX(FORDERUNGEN!$B$9:$B$28,MATCH(N13,FORDERUNGEN!$A$9:$A$28,0)))</x:f>
      </x:c>
      <x:c r="P13" s="86" t="str">
        <x:f>IF(N13="","",INDEX(FORDERUNGEN!$F$9:$F$28,MATCH(N13,FORDERUNGEN!$A$9:$A$28,0)))</x:f>
      </x:c>
      <x:c r="Q13" s="88" t="str">
        <x:f>IF(N13="","",INDEX(FORDERUNGEN!$G$9:$G$28,MATCH(N13,FORDERUNGEN!$A$9:$A$28,0)))</x:f>
      </x:c>
    </x:row>
    <x:row r="14" ht="21" customHeight="1">
      <x:c r="M14" t="n">
        <x:v>6</x:v>
      </x:c>
      <x:c r="N14" t="str">
        <x:f>IFERROR(INDEX(FORDERUNGEN!$A$9:$A$28,MATCH(M14,FORDERUNGEN!$L$9:$L$28,0)),"")</x:f>
      </x:c>
      <x:c r="O14" t="str">
        <x:f>IF(N14="","",INDEX(FORDERUNGEN!$B$9:$B$28,MATCH(N14,FORDERUNGEN!$A$9:$A$28,0)))</x:f>
      </x:c>
      <x:c r="P14" s="86" t="str">
        <x:f>IF(N14="","",INDEX(FORDERUNGEN!$F$9:$F$28,MATCH(N14,FORDERUNGEN!$A$9:$A$28,0)))</x:f>
      </x:c>
      <x:c r="Q14" s="88" t="str">
        <x:f>IF(N14="","",INDEX(FORDERUNGEN!$G$9:$G$28,MATCH(N14,FORDERUNGEN!$A$9:$A$28,0)))</x:f>
      </x:c>
    </x:row>
    <x:row r="15" ht="21" customHeight="1">
      <x:c r="M15" t="n">
        <x:v>7</x:v>
      </x:c>
      <x:c r="N15" t="str">
        <x:f>IFERROR(INDEX(FORDERUNGEN!$A$9:$A$28,MATCH(M15,FORDERUNGEN!$L$9:$L$28,0)),"")</x:f>
      </x:c>
      <x:c r="O15" t="str">
        <x:f>IF(N15="","",INDEX(FORDERUNGEN!$B$9:$B$28,MATCH(N15,FORDERUNGEN!$A$9:$A$28,0)))</x:f>
      </x:c>
      <x:c r="P15" s="86" t="str">
        <x:f>IF(N15="","",INDEX(FORDERUNGEN!$F$9:$F$28,MATCH(N15,FORDERUNGEN!$A$9:$A$28,0)))</x:f>
      </x:c>
      <x:c r="Q15" s="88" t="str">
        <x:f>IF(N15="","",INDEX(FORDERUNGEN!$G$9:$G$28,MATCH(N15,FORDERUNGEN!$A$9:$A$28,0)))</x:f>
      </x:c>
    </x:row>
    <x:row r="16" ht="21" customHeight="1">
      <x:c r="M16" t="n">
        <x:v>8</x:v>
      </x:c>
      <x:c r="N16" t="str">
        <x:f>IFERROR(INDEX(FORDERUNGEN!$A$9:$A$28,MATCH(M16,FORDERUNGEN!$L$9:$L$28,0)),"")</x:f>
      </x:c>
      <x:c r="O16" t="str">
        <x:f>IF(N16="","",INDEX(FORDERUNGEN!$B$9:$B$28,MATCH(N16,FORDERUNGEN!$A$9:$A$28,0)))</x:f>
      </x:c>
      <x:c r="P16" s="86" t="str">
        <x:f>IF(N16="","",INDEX(FORDERUNGEN!$F$9:$F$28,MATCH(N16,FORDERUNGEN!$A$9:$A$28,0)))</x:f>
      </x:c>
      <x:c r="Q16" s="88" t="str">
        <x:f>IF(N16="","",INDEX(FORDERUNGEN!$G$9:$G$28,MATCH(N16,FORDERUNGEN!$A$9:$A$28,0)))</x:f>
      </x:c>
    </x:row>
    <x:row r="17" ht="21" customHeight="1">
      <x:c r="M17" t="n">
        <x:v>9</x:v>
      </x:c>
      <x:c r="N17" t="str">
        <x:f>IFERROR(INDEX(FORDERUNGEN!$A$9:$A$28,MATCH(M17,FORDERUNGEN!$L$9:$L$28,0)),"")</x:f>
      </x:c>
      <x:c r="O17" t="str">
        <x:f>IF(N17="","",INDEX(FORDERUNGEN!$B$9:$B$28,MATCH(N17,FORDERUNGEN!$A$9:$A$28,0)))</x:f>
      </x:c>
      <x:c r="P17" s="86" t="str">
        <x:f>IF(N17="","",INDEX(FORDERUNGEN!$F$9:$F$28,MATCH(N17,FORDERUNGEN!$A$9:$A$28,0)))</x:f>
      </x:c>
      <x:c r="Q17" s="88" t="str">
        <x:f>IF(N17="","",INDEX(FORDERUNGEN!$G$9:$G$28,MATCH(N17,FORDERUNGEN!$A$9:$A$28,0)))</x:f>
      </x:c>
    </x:row>
    <x:row r="18" ht="21" customHeight="1">
      <x:c r="M18" t="n">
        <x:v>10</x:v>
      </x:c>
      <x:c r="N18" t="str">
        <x:f>IFERROR(INDEX(FORDERUNGEN!$A$9:$A$28,MATCH(M18,FORDERUNGEN!$L$9:$L$28,0)),"")</x:f>
      </x:c>
      <x:c r="O18" t="str">
        <x:f>IF(N18="","",INDEX(FORDERUNGEN!$B$9:$B$28,MATCH(N18,FORDERUNGEN!$A$9:$A$28,0)))</x:f>
      </x:c>
      <x:c r="P18" s="86" t="str">
        <x:f>IF(N18="","",INDEX(FORDERUNGEN!$F$9:$F$28,MATCH(N18,FORDERUNGEN!$A$9:$A$28,0)))</x:f>
      </x:c>
      <x:c r="Q18" s="88" t="str">
        <x:f>IF(N18="","",INDEX(FORDERUNGEN!$G$9:$G$28,MATCH(N18,FORDERUNGEN!$A$9:$A$28,0)))</x:f>
      </x:c>
    </x:row>
    <x:row r="19" ht="21" customHeight="1">
      <x:c r="M19" t="n">
        <x:v>11</x:v>
      </x:c>
      <x:c r="N19" t="str">
        <x:f>IFERROR(INDEX(FORDERUNGEN!$A$9:$A$28,MATCH(M19,FORDERUNGEN!$L$9:$L$28,0)),"")</x:f>
      </x:c>
      <x:c r="O19" t="str">
        <x:f>IF(N19="","",INDEX(FORDERUNGEN!$B$9:$B$28,MATCH(N19,FORDERUNGEN!$A$9:$A$28,0)))</x:f>
      </x:c>
      <x:c r="P19" s="86" t="str">
        <x:f>IF(N19="","",INDEX(FORDERUNGEN!$F$9:$F$28,MATCH(N19,FORDERUNGEN!$A$9:$A$28,0)))</x:f>
      </x:c>
      <x:c r="Q19" s="88" t="str">
        <x:f>IF(N19="","",INDEX(FORDERUNGEN!$G$9:$G$28,MATCH(N19,FORDERUNGEN!$A$9:$A$28,0)))</x:f>
      </x:c>
    </x:row>
    <x:row r="20" ht="21" customHeight="1">
      <x:c r="M20" t="n">
        <x:v>12</x:v>
      </x:c>
      <x:c r="N20" t="str">
        <x:f>IFERROR(INDEX(FORDERUNGEN!$A$9:$A$28,MATCH(M20,FORDERUNGEN!$L$9:$L$28,0)),"")</x:f>
      </x:c>
      <x:c r="O20" t="str">
        <x:f>IF(N20="","",INDEX(FORDERUNGEN!$B$9:$B$28,MATCH(N20,FORDERUNGEN!$A$9:$A$28,0)))</x:f>
      </x:c>
      <x:c r="P20" s="86" t="str">
        <x:f>IF(N20="","",INDEX(FORDERUNGEN!$F$9:$F$28,MATCH(N20,FORDERUNGEN!$A$9:$A$28,0)))</x:f>
      </x:c>
      <x:c r="Q20" s="88" t="str">
        <x:f>IF(N20="","",INDEX(FORDERUNGEN!$G$9:$G$28,MATCH(N20,FORDERUNGEN!$A$9:$A$28,0)))</x:f>
      </x:c>
    </x:row>
    <x:row r="21" ht="21" customHeight="1">
      <x:c r="M21" t="n">
        <x:v>13</x:v>
      </x:c>
      <x:c r="N21" t="str">
        <x:f>IFERROR(INDEX(FORDERUNGEN!$A$9:$A$28,MATCH(M21,FORDERUNGEN!$L$9:$L$28,0)),"")</x:f>
      </x:c>
      <x:c r="O21" t="str">
        <x:f>IF(N21="","",INDEX(FORDERUNGEN!$B$9:$B$28,MATCH(N21,FORDERUNGEN!$A$9:$A$28,0)))</x:f>
      </x:c>
      <x:c r="P21" s="86" t="str">
        <x:f>IF(N21="","",INDEX(FORDERUNGEN!$F$9:$F$28,MATCH(N21,FORDERUNGEN!$A$9:$A$28,0)))</x:f>
      </x:c>
      <x:c r="Q21" s="88" t="str">
        <x:f>IF(N21="","",INDEX(FORDERUNGEN!$G$9:$G$28,MATCH(N21,FORDERUNGEN!$A$9:$A$28,0)))</x:f>
      </x:c>
    </x:row>
    <x:row r="22" ht="21" customHeight="1">
      <x:c r="M22" t="n">
        <x:v>14</x:v>
      </x:c>
      <x:c r="N22" t="str">
        <x:f>IFERROR(INDEX(FORDERUNGEN!$A$9:$A$28,MATCH(M22,FORDERUNGEN!$L$9:$L$28,0)),"")</x:f>
      </x:c>
      <x:c r="O22" t="str">
        <x:f>IF(N22="","",INDEX(FORDERUNGEN!$B$9:$B$28,MATCH(N22,FORDERUNGEN!$A$9:$A$28,0)))</x:f>
      </x:c>
      <x:c r="P22" s="86" t="str">
        <x:f>IF(N22="","",INDEX(FORDERUNGEN!$F$9:$F$28,MATCH(N22,FORDERUNGEN!$A$9:$A$28,0)))</x:f>
      </x:c>
      <x:c r="Q22" s="88" t="str">
        <x:f>IF(N22="","",INDEX(FORDERUNGEN!$G$9:$G$28,MATCH(N22,FORDERUNGEN!$A$9:$A$28,0)))</x:f>
      </x:c>
    </x:row>
    <x:row r="23" ht="21" customHeight="1">
      <x:c r="M23" t="n">
        <x:v>15</x:v>
      </x:c>
      <x:c r="N23" t="str">
        <x:f>IFERROR(INDEX(FORDERUNGEN!$A$9:$A$28,MATCH(M23,FORDERUNGEN!$L$9:$L$28,0)),"")</x:f>
      </x:c>
      <x:c r="O23" t="str">
        <x:f>IF(N23="","",INDEX(FORDERUNGEN!$B$9:$B$28,MATCH(N23,FORDERUNGEN!$A$9:$A$28,0)))</x:f>
      </x:c>
      <x:c r="P23" s="86" t="str">
        <x:f>IF(N23="","",INDEX(FORDERUNGEN!$F$9:$F$28,MATCH(N23,FORDERUNGEN!$A$9:$A$28,0)))</x:f>
      </x:c>
      <x:c r="Q23" s="88" t="str">
        <x:f>IF(N23="","",INDEX(FORDERUNGEN!$G$9:$G$28,MATCH(N23,FORDERUNGEN!$A$9:$A$28,0)))</x:f>
      </x:c>
    </x:row>
    <x:row r="24" ht="21" customHeight="1">
      <x:c r="M24" t="n">
        <x:v>16</x:v>
      </x:c>
      <x:c r="N24" t="str">
        <x:f>IFERROR(INDEX(FORDERUNGEN!$A$9:$A$28,MATCH(M24,FORDERUNGEN!$L$9:$L$28,0)),"")</x:f>
      </x:c>
      <x:c r="O24" t="str">
        <x:f>IF(N24="","",INDEX(FORDERUNGEN!$B$9:$B$28,MATCH(N24,FORDERUNGEN!$A$9:$A$28,0)))</x:f>
      </x:c>
      <x:c r="P24" s="86" t="str">
        <x:f>IF(N24="","",INDEX(FORDERUNGEN!$F$9:$F$28,MATCH(N24,FORDERUNGEN!$A$9:$A$28,0)))</x:f>
      </x:c>
      <x:c r="Q24" s="88" t="str">
        <x:f>IF(N24="","",INDEX(FORDERUNGEN!$G$9:$G$28,MATCH(N24,FORDERUNGEN!$A$9:$A$28,0)))</x:f>
      </x:c>
    </x:row>
    <x:row r="25" ht="21" customHeight="1">
      <x:c r="M25" t="n">
        <x:v>17</x:v>
      </x:c>
      <x:c r="N25" t="str">
        <x:f>IFERROR(INDEX(FORDERUNGEN!$A$9:$A$28,MATCH(M25,FORDERUNGEN!$L$9:$L$28,0)),"")</x:f>
      </x:c>
      <x:c r="O25" t="str">
        <x:f>IF(N25="","",INDEX(FORDERUNGEN!$B$9:$B$28,MATCH(N25,FORDERUNGEN!$A$9:$A$28,0)))</x:f>
      </x:c>
      <x:c r="P25" s="86" t="str">
        <x:f>IF(N25="","",INDEX(FORDERUNGEN!$F$9:$F$28,MATCH(N25,FORDERUNGEN!$A$9:$A$28,0)))</x:f>
      </x:c>
      <x:c r="Q25" s="88" t="str">
        <x:f>IF(N25="","",INDEX(FORDERUNGEN!$G$9:$G$28,MATCH(N25,FORDERUNGEN!$A$9:$A$28,0)))</x:f>
      </x:c>
    </x:row>
    <x:row r="26" ht="21" customHeight="1">
      <x:c r="M26" t="n">
        <x:v>18</x:v>
      </x:c>
      <x:c r="N26" t="str">
        <x:f>IFERROR(INDEX(FORDERUNGEN!$A$9:$A$28,MATCH(M26,FORDERUNGEN!$L$9:$L$28,0)),"")</x:f>
      </x:c>
      <x:c r="O26" t="str">
        <x:f>IF(N26="","",INDEX(FORDERUNGEN!$B$9:$B$28,MATCH(N26,FORDERUNGEN!$A$9:$A$28,0)))</x:f>
      </x:c>
      <x:c r="P26" s="86" t="str">
        <x:f>IF(N26="","",INDEX(FORDERUNGEN!$F$9:$F$28,MATCH(N26,FORDERUNGEN!$A$9:$A$28,0)))</x:f>
      </x:c>
      <x:c r="Q26" s="88" t="str">
        <x:f>IF(N26="","",INDEX(FORDERUNGEN!$G$9:$G$28,MATCH(N26,FORDERUNGEN!$A$9:$A$28,0)))</x:f>
      </x:c>
    </x:row>
    <x:row r="27" ht="21" customHeight="1">
      <x:c r="M27" t="n">
        <x:v>19</x:v>
      </x:c>
      <x:c r="N27" t="str">
        <x:f>IFERROR(INDEX(FORDERUNGEN!$A$9:$A$28,MATCH(M27,FORDERUNGEN!$L$9:$L$28,0)),"")</x:f>
      </x:c>
      <x:c r="O27" t="str">
        <x:f>IF(N27="","",INDEX(FORDERUNGEN!$B$9:$B$28,MATCH(N27,FORDERUNGEN!$A$9:$A$28,0)))</x:f>
      </x:c>
      <x:c r="P27" s="86" t="str">
        <x:f>IF(N27="","",INDEX(FORDERUNGEN!$F$9:$F$28,MATCH(N27,FORDERUNGEN!$A$9:$A$28,0)))</x:f>
      </x:c>
      <x:c r="Q27" s="88" t="str">
        <x:f>IF(N27="","",INDEX(FORDERUNGEN!$G$9:$G$28,MATCH(N27,FORDERUNGEN!$A$9:$A$28,0)))</x:f>
      </x:c>
    </x:row>
    <x:row r="28" ht="21" customHeight="1">
      <x:c r="M28" t="n">
        <x:v>20</x:v>
      </x:c>
      <x:c r="N28" t="str">
        <x:f>IFERROR(INDEX(FORDERUNGEN!$A$9:$A$28,MATCH(M28,FORDERUNGEN!$L$9:$L$28,0)),"")</x:f>
      </x:c>
      <x:c r="O28" t="str">
        <x:f>IF(N28="","",INDEX(FORDERUNGEN!$B$9:$B$28,MATCH(N28,FORDERUNGEN!$A$9:$A$28,0)))</x:f>
      </x:c>
      <x:c r="P28" s="86" t="str">
        <x:f>IF(N28="","",INDEX(FORDERUNGEN!$F$9:$F$28,MATCH(N28,FORDERUNGEN!$A$9:$A$28,0)))</x:f>
      </x:c>
      <x:c r="Q28" s="88" t="str">
        <x:f>IF(N28="","",INDEX(FORDERUNGEN!$G$9:$G$28,MATCH(N28,FORDERUNGEN!$A$9:$A$28,0)))</x:f>
      </x:c>
    </x:row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  <x:row r="36" ht="29" customHeight="1">
      <x:c r="A36" s="21" t="str">
        <x:v>RECHENBLATT  ·  Monat 1 beginnt in Zeile 40. Dateneingaben bitte ausschließlich in den blauen Blättern vornehmen.</x:v>
      </x:c>
      <x:c r="B36" s="21"/>
      <x:c r="C36" s="21"/>
      <x:c r="D36" s="21"/>
      <x:c r="E36" s="21"/>
      <x:c r="F36" s="21"/>
      <x:c r="G36" s="21"/>
      <x:c r="H36" s="21"/>
      <x:c r="I36" s="21"/>
      <x:c r="J36" s="21"/>
      <x:c r="K36" s="21"/>
    </x:row>
    <x:row r="37" ht="21" customHeight="1"/>
    <x:row r="38" ht="21" customHeight="1"/>
    <x:row r="39" ht="39" customHeight="1">
      <x:c r="A39" s="83" t="str">
        <x:v>Monat</x:v>
      </x:c>
      <x:c r="B39" s="83" t="str">
        <x:v>Rang</x:v>
      </x:c>
      <x:c r="C39" s="83" t="str">
        <x:v>Gläubiger-ID</x:v>
      </x:c>
      <x:c r="D39" s="83" t="str">
        <x:v>Anfang (€)</x:v>
      </x:c>
      <x:c r="E39" s="83" t="str">
        <x:v>Zinsen (€)</x:v>
      </x:c>
      <x:c r="F39" s="83" t="str">
        <x:v>Mindestrate (€)</x:v>
      </x:c>
      <x:c r="G39" s="83" t="str">
        <x:v>Sonder (€)</x:v>
      </x:c>
      <x:c r="H39" s="83" t="str">
        <x:v>Extra (€)</x:v>
      </x:c>
      <x:c r="I39" s="83" t="str">
        <x:v>Rest (€)</x:v>
      </x:c>
      <x:c r="J39" s="83" t="str">
        <x:v>Gesamt gezahlt (€)</x:v>
      </x:c>
      <x:c r="K39" s="83" t="str">
        <x:v>Sonder ungenutzt (€)</x:v>
      </x:c>
    </x:row>
    <x:row r="40" ht="19" customHeight="1">
      <x:c r="A40" s="90" t="n">
        <x:f>MONATSBUDGET!$A$9</x:f>
        <x:v>46266</x:v>
      </x:c>
      <x:c r="B40" t="n">
        <x:f>1</x:f>
        <x:v>1</x:v>
      </x:c>
      <x:c r="C40" t="str">
        <x:f>IF($N$9="","",$N$9)</x:f>
      </x:c>
      <x:c r="D40" s="88" t="str">
        <x:f>IF(C40="","",INDEX(FORDERUNGEN!$E$9:$E$28,MATCH(C40,FORDERUNGEN!$A$9:$A$28,0)))</x:f>
      </x:c>
      <x:c r="E40" s="88" t="str">
        <x:f>IF(C40="","",ROUND(D40*$P$9/12,2))</x:f>
      </x:c>
      <x:c r="F40" s="88" t="str">
        <x:f>IF(C40="","",MIN(D40+E40,$Q$9))</x:f>
      </x:c>
      <x:c r="G40" s="88" t="str">
        <x:f>IF(C40="","",MIN(MAX(0,D40+E40-F40),SUMIFS(SONDERZAHLUNGEN!$E$9:$E$128,SONDERZAHLUNGEN!$B$9:$B$128,C40,SONDERZAHLUNGEN!$C$9:$C$128,A40,SONDERZAHLUNGEN!$H$9:$H$128,"OK",SONDERZAHLUNGEN!$F$9:$F$128,"Ja")))</x:f>
      </x:c>
      <x:c r="H40" s="88" t="str">
        <x:f>IF(C40="","",MIN(MAX(0,D40+E40-F40-G40),MAX(0,IF(MONATSBUDGET!$C$9="",0,MONATSBUDGET!$C$9)-SUM(F40:F59)-0)))</x:f>
      </x:c>
      <x:c r="I40" s="88" t="str">
        <x:f>IF(C40="","",MAX(0,ROUND(D40+E40-F40-G40-H40,2)))</x:f>
      </x:c>
      <x:c r="J40" s="88" t="str">
        <x:f>IF(C40="","",F40+G40+H40)</x:f>
      </x:c>
      <x:c r="K40" s="88" t="str">
        <x:f>IF(C40="","",MAX(0,SUMIFS(SONDERZAHLUNGEN!$E$9:$E$128,SONDERZAHLUNGEN!$B$9:$B$128,C40,SONDERZAHLUNGEN!$C$9:$C$128,A40,SONDERZAHLUNGEN!$H$9:$H$128,"OK",SONDERZAHLUNGEN!$F$9:$F$128,"Ja")-G40))</x:f>
      </x:c>
    </x:row>
    <x:row r="41" ht="19" customHeight="1">
      <x:c r="A41" s="90" t="n">
        <x:f>MONATSBUDGET!$A$9</x:f>
        <x:v>46266</x:v>
      </x:c>
      <x:c r="B41" t="n">
        <x:f>2</x:f>
        <x:v>2</x:v>
      </x:c>
      <x:c r="C41" t="str">
        <x:f>IF($N$10="","",$N$10)</x:f>
      </x:c>
      <x:c r="D41" s="88" t="str">
        <x:f>IF(C41="","",INDEX(FORDERUNGEN!$E$9:$E$28,MATCH(C41,FORDERUNGEN!$A$9:$A$28,0)))</x:f>
      </x:c>
      <x:c r="E41" s="88" t="str">
        <x:f>IF(C41="","",ROUND(D41*$P$10/12,2))</x:f>
      </x:c>
      <x:c r="F41" s="88" t="str">
        <x:f>IF(C41="","",MIN(D41+E41,$Q$10))</x:f>
      </x:c>
      <x:c r="G41" s="88" t="str">
        <x:f>IF(C41="","",MIN(MAX(0,D41+E41-F41),SUMIFS(SONDERZAHLUNGEN!$E$9:$E$128,SONDERZAHLUNGEN!$B$9:$B$128,C41,SONDERZAHLUNGEN!$C$9:$C$128,A41,SONDERZAHLUNGEN!$H$9:$H$128,"OK",SONDERZAHLUNGEN!$F$9:$F$128,"Ja")))</x:f>
      </x:c>
      <x:c r="H41" s="88" t="str">
        <x:f>IF(C41="","",MIN(MAX(0,D41+E41-F41-G41),MAX(0,IF(MONATSBUDGET!$C$9="",0,MONATSBUDGET!$C$9)-SUM(F40:F59)-SUM(H40:H40))))</x:f>
      </x:c>
      <x:c r="I41" s="88" t="str">
        <x:f>IF(C41="","",MAX(0,ROUND(D41+E41-F41-G41-H41,2)))</x:f>
      </x:c>
      <x:c r="J41" s="88" t="str">
        <x:f>IF(C41="","",F41+G41+H41)</x:f>
      </x:c>
      <x:c r="K41" s="88" t="str">
        <x:f>IF(C41="","",MAX(0,SUMIFS(SONDERZAHLUNGEN!$E$9:$E$128,SONDERZAHLUNGEN!$B$9:$B$128,C41,SONDERZAHLUNGEN!$C$9:$C$128,A41,SONDERZAHLUNGEN!$H$9:$H$128,"OK",SONDERZAHLUNGEN!$F$9:$F$128,"Ja")-G41))</x:f>
      </x:c>
    </x:row>
    <x:row r="42" ht="19" customHeight="1">
      <x:c r="A42" s="90" t="n">
        <x:f>MONATSBUDGET!$A$9</x:f>
        <x:v>46266</x:v>
      </x:c>
      <x:c r="B42" t="n">
        <x:f>3</x:f>
        <x:v>3</x:v>
      </x:c>
      <x:c r="C42" t="str">
        <x:f>IF($N$11="","",$N$11)</x:f>
      </x:c>
      <x:c r="D42" s="88" t="str">
        <x:f>IF(C42="","",INDEX(FORDERUNGEN!$E$9:$E$28,MATCH(C42,FORDERUNGEN!$A$9:$A$28,0)))</x:f>
      </x:c>
      <x:c r="E42" s="88" t="str">
        <x:f>IF(C42="","",ROUND(D42*$P$11/12,2))</x:f>
      </x:c>
      <x:c r="F42" s="88" t="str">
        <x:f>IF(C42="","",MIN(D42+E42,$Q$11))</x:f>
      </x:c>
      <x:c r="G42" s="88" t="str">
        <x:f>IF(C42="","",MIN(MAX(0,D42+E42-F42),SUMIFS(SONDERZAHLUNGEN!$E$9:$E$128,SONDERZAHLUNGEN!$B$9:$B$128,C42,SONDERZAHLUNGEN!$C$9:$C$128,A42,SONDERZAHLUNGEN!$H$9:$H$128,"OK",SONDERZAHLUNGEN!$F$9:$F$128,"Ja")))</x:f>
      </x:c>
      <x:c r="H42" s="88" t="str">
        <x:f>IF(C42="","",MIN(MAX(0,D42+E42-F42-G42),MAX(0,IF(MONATSBUDGET!$C$9="",0,MONATSBUDGET!$C$9)-SUM(F40:F59)-SUM(H40:H41))))</x:f>
      </x:c>
      <x:c r="I42" s="88" t="str">
        <x:f>IF(C42="","",MAX(0,ROUND(D42+E42-F42-G42-H42,2)))</x:f>
      </x:c>
      <x:c r="J42" s="88" t="str">
        <x:f>IF(C42="","",F42+G42+H42)</x:f>
      </x:c>
      <x:c r="K42" s="88" t="str">
        <x:f>IF(C42="","",MAX(0,SUMIFS(SONDERZAHLUNGEN!$E$9:$E$128,SONDERZAHLUNGEN!$B$9:$B$128,C42,SONDERZAHLUNGEN!$C$9:$C$128,A42,SONDERZAHLUNGEN!$H$9:$H$128,"OK",SONDERZAHLUNGEN!$F$9:$F$128,"Ja")-G42))</x:f>
      </x:c>
    </x:row>
    <x:row r="43" ht="19" customHeight="1">
      <x:c r="A43" s="90" t="n">
        <x:f>MONATSBUDGET!$A$9</x:f>
        <x:v>46266</x:v>
      </x:c>
      <x:c r="B43" t="n">
        <x:f>4</x:f>
        <x:v>4</x:v>
      </x:c>
      <x:c r="C43" t="str">
        <x:f>IF($N$12="","",$N$12)</x:f>
      </x:c>
      <x:c r="D43" s="88" t="str">
        <x:f>IF(C43="","",INDEX(FORDERUNGEN!$E$9:$E$28,MATCH(C43,FORDERUNGEN!$A$9:$A$28,0)))</x:f>
      </x:c>
      <x:c r="E43" s="88" t="str">
        <x:f>IF(C43="","",ROUND(D43*$P$12/12,2))</x:f>
      </x:c>
      <x:c r="F43" s="88" t="str">
        <x:f>IF(C43="","",MIN(D43+E43,$Q$12))</x:f>
      </x:c>
      <x:c r="G43" s="88" t="str">
        <x:f>IF(C43="","",MIN(MAX(0,D43+E43-F43),SUMIFS(SONDERZAHLUNGEN!$E$9:$E$128,SONDERZAHLUNGEN!$B$9:$B$128,C43,SONDERZAHLUNGEN!$C$9:$C$128,A43,SONDERZAHLUNGEN!$H$9:$H$128,"OK",SONDERZAHLUNGEN!$F$9:$F$128,"Ja")))</x:f>
      </x:c>
      <x:c r="H43" s="88" t="str">
        <x:f>IF(C43="","",MIN(MAX(0,D43+E43-F43-G43),MAX(0,IF(MONATSBUDGET!$C$9="",0,MONATSBUDGET!$C$9)-SUM(F40:F59)-SUM(H40:H42))))</x:f>
      </x:c>
      <x:c r="I43" s="88" t="str">
        <x:f>IF(C43="","",MAX(0,ROUND(D43+E43-F43-G43-H43,2)))</x:f>
      </x:c>
      <x:c r="J43" s="88" t="str">
        <x:f>IF(C43="","",F43+G43+H43)</x:f>
      </x:c>
      <x:c r="K43" s="88" t="str">
        <x:f>IF(C43="","",MAX(0,SUMIFS(SONDERZAHLUNGEN!$E$9:$E$128,SONDERZAHLUNGEN!$B$9:$B$128,C43,SONDERZAHLUNGEN!$C$9:$C$128,A43,SONDERZAHLUNGEN!$H$9:$H$128,"OK",SONDERZAHLUNGEN!$F$9:$F$128,"Ja")-G43))</x:f>
      </x:c>
    </x:row>
    <x:row r="44" ht="19" customHeight="1">
      <x:c r="A44" s="90" t="n">
        <x:f>MONATSBUDGET!$A$9</x:f>
        <x:v>46266</x:v>
      </x:c>
      <x:c r="B44" t="n">
        <x:f>5</x:f>
        <x:v>5</x:v>
      </x:c>
      <x:c r="C44" t="str">
        <x:f>IF($N$13="","",$N$13)</x:f>
      </x:c>
      <x:c r="D44" s="88" t="str">
        <x:f>IF(C44="","",INDEX(FORDERUNGEN!$E$9:$E$28,MATCH(C44,FORDERUNGEN!$A$9:$A$28,0)))</x:f>
      </x:c>
      <x:c r="E44" s="88" t="str">
        <x:f>IF(C44="","",ROUND(D44*$P$13/12,2))</x:f>
      </x:c>
      <x:c r="F44" s="88" t="str">
        <x:f>IF(C44="","",MIN(D44+E44,$Q$13))</x:f>
      </x:c>
      <x:c r="G44" s="88" t="str">
        <x:f>IF(C44="","",MIN(MAX(0,D44+E44-F44),SUMIFS(SONDERZAHLUNGEN!$E$9:$E$128,SONDERZAHLUNGEN!$B$9:$B$128,C44,SONDERZAHLUNGEN!$C$9:$C$128,A44,SONDERZAHLUNGEN!$H$9:$H$128,"OK",SONDERZAHLUNGEN!$F$9:$F$128,"Ja")))</x:f>
      </x:c>
      <x:c r="H44" s="88" t="str">
        <x:f>IF(C44="","",MIN(MAX(0,D44+E44-F44-G44),MAX(0,IF(MONATSBUDGET!$C$9="",0,MONATSBUDGET!$C$9)-SUM(F40:F59)-SUM(H40:H43))))</x:f>
      </x:c>
      <x:c r="I44" s="88" t="str">
        <x:f>IF(C44="","",MAX(0,ROUND(D44+E44-F44-G44-H44,2)))</x:f>
      </x:c>
      <x:c r="J44" s="88" t="str">
        <x:f>IF(C44="","",F44+G44+H44)</x:f>
      </x:c>
      <x:c r="K44" s="88" t="str">
        <x:f>IF(C44="","",MAX(0,SUMIFS(SONDERZAHLUNGEN!$E$9:$E$128,SONDERZAHLUNGEN!$B$9:$B$128,C44,SONDERZAHLUNGEN!$C$9:$C$128,A44,SONDERZAHLUNGEN!$H$9:$H$128,"OK",SONDERZAHLUNGEN!$F$9:$F$128,"Ja")-G44))</x:f>
      </x:c>
    </x:row>
    <x:row r="45" ht="19" customHeight="1">
      <x:c r="A45" s="90" t="n">
        <x:f>MONATSBUDGET!$A$9</x:f>
        <x:v>46266</x:v>
      </x:c>
      <x:c r="B45" t="n">
        <x:f>6</x:f>
        <x:v>6</x:v>
      </x:c>
      <x:c r="C45" t="str">
        <x:f>IF($N$14="","",$N$14)</x:f>
      </x:c>
      <x:c r="D45" s="88" t="str">
        <x:f>IF(C45="","",INDEX(FORDERUNGEN!$E$9:$E$28,MATCH(C45,FORDERUNGEN!$A$9:$A$28,0)))</x:f>
      </x:c>
      <x:c r="E45" s="88" t="str">
        <x:f>IF(C45="","",ROUND(D45*$P$14/12,2))</x:f>
      </x:c>
      <x:c r="F45" s="88" t="str">
        <x:f>IF(C45="","",MIN(D45+E45,$Q$14))</x:f>
      </x:c>
      <x:c r="G45" s="88" t="str">
        <x:f>IF(C45="","",MIN(MAX(0,D45+E45-F45),SUMIFS(SONDERZAHLUNGEN!$E$9:$E$128,SONDERZAHLUNGEN!$B$9:$B$128,C45,SONDERZAHLUNGEN!$C$9:$C$128,A45,SONDERZAHLUNGEN!$H$9:$H$128,"OK",SONDERZAHLUNGEN!$F$9:$F$128,"Ja")))</x:f>
      </x:c>
      <x:c r="H45" s="88" t="str">
        <x:f>IF(C45="","",MIN(MAX(0,D45+E45-F45-G45),MAX(0,IF(MONATSBUDGET!$C$9="",0,MONATSBUDGET!$C$9)-SUM(F40:F59)-SUM(H40:H44))))</x:f>
      </x:c>
      <x:c r="I45" s="88" t="str">
        <x:f>IF(C45="","",MAX(0,ROUND(D45+E45-F45-G45-H45,2)))</x:f>
      </x:c>
      <x:c r="J45" s="88" t="str">
        <x:f>IF(C45="","",F45+G45+H45)</x:f>
      </x:c>
      <x:c r="K45" s="88" t="str">
        <x:f>IF(C45="","",MAX(0,SUMIFS(SONDERZAHLUNGEN!$E$9:$E$128,SONDERZAHLUNGEN!$B$9:$B$128,C45,SONDERZAHLUNGEN!$C$9:$C$128,A45,SONDERZAHLUNGEN!$H$9:$H$128,"OK",SONDERZAHLUNGEN!$F$9:$F$128,"Ja")-G45))</x:f>
      </x:c>
    </x:row>
    <x:row r="46" ht="19" customHeight="1">
      <x:c r="A46" s="90" t="n">
        <x:f>MONATSBUDGET!$A$9</x:f>
        <x:v>46266</x:v>
      </x:c>
      <x:c r="B46" t="n">
        <x:f>7</x:f>
        <x:v>7</x:v>
      </x:c>
      <x:c r="C46" t="str">
        <x:f>IF($N$15="","",$N$15)</x:f>
      </x:c>
      <x:c r="D46" s="88" t="str">
        <x:f>IF(C46="","",INDEX(FORDERUNGEN!$E$9:$E$28,MATCH(C46,FORDERUNGEN!$A$9:$A$28,0)))</x:f>
      </x:c>
      <x:c r="E46" s="88" t="str">
        <x:f>IF(C46="","",ROUND(D46*$P$15/12,2))</x:f>
      </x:c>
      <x:c r="F46" s="88" t="str">
        <x:f>IF(C46="","",MIN(D46+E46,$Q$15))</x:f>
      </x:c>
      <x:c r="G46" s="88" t="str">
        <x:f>IF(C46="","",MIN(MAX(0,D46+E46-F46),SUMIFS(SONDERZAHLUNGEN!$E$9:$E$128,SONDERZAHLUNGEN!$B$9:$B$128,C46,SONDERZAHLUNGEN!$C$9:$C$128,A46,SONDERZAHLUNGEN!$H$9:$H$128,"OK",SONDERZAHLUNGEN!$F$9:$F$128,"Ja")))</x:f>
      </x:c>
      <x:c r="H46" s="88" t="str">
        <x:f>IF(C46="","",MIN(MAX(0,D46+E46-F46-G46),MAX(0,IF(MONATSBUDGET!$C$9="",0,MONATSBUDGET!$C$9)-SUM(F40:F59)-SUM(H40:H45))))</x:f>
      </x:c>
      <x:c r="I46" s="88" t="str">
        <x:f>IF(C46="","",MAX(0,ROUND(D46+E46-F46-G46-H46,2)))</x:f>
      </x:c>
      <x:c r="J46" s="88" t="str">
        <x:f>IF(C46="","",F46+G46+H46)</x:f>
      </x:c>
      <x:c r="K46" s="88" t="str">
        <x:f>IF(C46="","",MAX(0,SUMIFS(SONDERZAHLUNGEN!$E$9:$E$128,SONDERZAHLUNGEN!$B$9:$B$128,C46,SONDERZAHLUNGEN!$C$9:$C$128,A46,SONDERZAHLUNGEN!$H$9:$H$128,"OK",SONDERZAHLUNGEN!$F$9:$F$128,"Ja")-G46))</x:f>
      </x:c>
    </x:row>
    <x:row r="47" ht="19" customHeight="1">
      <x:c r="A47" s="90" t="n">
        <x:f>MONATSBUDGET!$A$9</x:f>
        <x:v>46266</x:v>
      </x:c>
      <x:c r="B47" t="n">
        <x:f>8</x:f>
        <x:v>8</x:v>
      </x:c>
      <x:c r="C47" t="str">
        <x:f>IF($N$16="","",$N$16)</x:f>
      </x:c>
      <x:c r="D47" s="88" t="str">
        <x:f>IF(C47="","",INDEX(FORDERUNGEN!$E$9:$E$28,MATCH(C47,FORDERUNGEN!$A$9:$A$28,0)))</x:f>
      </x:c>
      <x:c r="E47" s="88" t="str">
        <x:f>IF(C47="","",ROUND(D47*$P$16/12,2))</x:f>
      </x:c>
      <x:c r="F47" s="88" t="str">
        <x:f>IF(C47="","",MIN(D47+E47,$Q$16))</x:f>
      </x:c>
      <x:c r="G47" s="88" t="str">
        <x:f>IF(C47="","",MIN(MAX(0,D47+E47-F47),SUMIFS(SONDERZAHLUNGEN!$E$9:$E$128,SONDERZAHLUNGEN!$B$9:$B$128,C47,SONDERZAHLUNGEN!$C$9:$C$128,A47,SONDERZAHLUNGEN!$H$9:$H$128,"OK",SONDERZAHLUNGEN!$F$9:$F$128,"Ja")))</x:f>
      </x:c>
      <x:c r="H47" s="88" t="str">
        <x:f>IF(C47="","",MIN(MAX(0,D47+E47-F47-G47),MAX(0,IF(MONATSBUDGET!$C$9="",0,MONATSBUDGET!$C$9)-SUM(F40:F59)-SUM(H40:H46))))</x:f>
      </x:c>
      <x:c r="I47" s="88" t="str">
        <x:f>IF(C47="","",MAX(0,ROUND(D47+E47-F47-G47-H47,2)))</x:f>
      </x:c>
      <x:c r="J47" s="88" t="str">
        <x:f>IF(C47="","",F47+G47+H47)</x:f>
      </x:c>
      <x:c r="K47" s="88" t="str">
        <x:f>IF(C47="","",MAX(0,SUMIFS(SONDERZAHLUNGEN!$E$9:$E$128,SONDERZAHLUNGEN!$B$9:$B$128,C47,SONDERZAHLUNGEN!$C$9:$C$128,A47,SONDERZAHLUNGEN!$H$9:$H$128,"OK",SONDERZAHLUNGEN!$F$9:$F$128,"Ja")-G47))</x:f>
      </x:c>
    </x:row>
    <x:row r="48" ht="19" customHeight="1">
      <x:c r="A48" s="90" t="n">
        <x:f>MONATSBUDGET!$A$9</x:f>
        <x:v>46266</x:v>
      </x:c>
      <x:c r="B48" t="n">
        <x:f>9</x:f>
        <x:v>9</x:v>
      </x:c>
      <x:c r="C48" t="str">
        <x:f>IF($N$17="","",$N$17)</x:f>
      </x:c>
      <x:c r="D48" s="88" t="str">
        <x:f>IF(C48="","",INDEX(FORDERUNGEN!$E$9:$E$28,MATCH(C48,FORDERUNGEN!$A$9:$A$28,0)))</x:f>
      </x:c>
      <x:c r="E48" s="88" t="str">
        <x:f>IF(C48="","",ROUND(D48*$P$17/12,2))</x:f>
      </x:c>
      <x:c r="F48" s="88" t="str">
        <x:f>IF(C48="","",MIN(D48+E48,$Q$17))</x:f>
      </x:c>
      <x:c r="G48" s="88" t="str">
        <x:f>IF(C48="","",MIN(MAX(0,D48+E48-F48),SUMIFS(SONDERZAHLUNGEN!$E$9:$E$128,SONDERZAHLUNGEN!$B$9:$B$128,C48,SONDERZAHLUNGEN!$C$9:$C$128,A48,SONDERZAHLUNGEN!$H$9:$H$128,"OK",SONDERZAHLUNGEN!$F$9:$F$128,"Ja")))</x:f>
      </x:c>
      <x:c r="H48" s="88" t="str">
        <x:f>IF(C48="","",MIN(MAX(0,D48+E48-F48-G48),MAX(0,IF(MONATSBUDGET!$C$9="",0,MONATSBUDGET!$C$9)-SUM(F40:F59)-SUM(H40:H47))))</x:f>
      </x:c>
      <x:c r="I48" s="88" t="str">
        <x:f>IF(C48="","",MAX(0,ROUND(D48+E48-F48-G48-H48,2)))</x:f>
      </x:c>
      <x:c r="J48" s="88" t="str">
        <x:f>IF(C48="","",F48+G48+H48)</x:f>
      </x:c>
      <x:c r="K48" s="88" t="str">
        <x:f>IF(C48="","",MAX(0,SUMIFS(SONDERZAHLUNGEN!$E$9:$E$128,SONDERZAHLUNGEN!$B$9:$B$128,C48,SONDERZAHLUNGEN!$C$9:$C$128,A48,SONDERZAHLUNGEN!$H$9:$H$128,"OK",SONDERZAHLUNGEN!$F$9:$F$128,"Ja")-G48))</x:f>
      </x:c>
    </x:row>
    <x:row r="49" ht="19" customHeight="1">
      <x:c r="A49" s="90" t="n">
        <x:f>MONATSBUDGET!$A$9</x:f>
        <x:v>46266</x:v>
      </x:c>
      <x:c r="B49" t="n">
        <x:f>10</x:f>
        <x:v>10</x:v>
      </x:c>
      <x:c r="C49" t="str">
        <x:f>IF($N$18="","",$N$18)</x:f>
      </x:c>
      <x:c r="D49" s="88" t="str">
        <x:f>IF(C49="","",INDEX(FORDERUNGEN!$E$9:$E$28,MATCH(C49,FORDERUNGEN!$A$9:$A$28,0)))</x:f>
      </x:c>
      <x:c r="E49" s="88" t="str">
        <x:f>IF(C49="","",ROUND(D49*$P$18/12,2))</x:f>
      </x:c>
      <x:c r="F49" s="88" t="str">
        <x:f>IF(C49="","",MIN(D49+E49,$Q$18))</x:f>
      </x:c>
      <x:c r="G49" s="88" t="str">
        <x:f>IF(C49="","",MIN(MAX(0,D49+E49-F49),SUMIFS(SONDERZAHLUNGEN!$E$9:$E$128,SONDERZAHLUNGEN!$B$9:$B$128,C49,SONDERZAHLUNGEN!$C$9:$C$128,A49,SONDERZAHLUNGEN!$H$9:$H$128,"OK",SONDERZAHLUNGEN!$F$9:$F$128,"Ja")))</x:f>
      </x:c>
      <x:c r="H49" s="88" t="str">
        <x:f>IF(C49="","",MIN(MAX(0,D49+E49-F49-G49),MAX(0,IF(MONATSBUDGET!$C$9="",0,MONATSBUDGET!$C$9)-SUM(F40:F59)-SUM(H40:H48))))</x:f>
      </x:c>
      <x:c r="I49" s="88" t="str">
        <x:f>IF(C49="","",MAX(0,ROUND(D49+E49-F49-G49-H49,2)))</x:f>
      </x:c>
      <x:c r="J49" s="88" t="str">
        <x:f>IF(C49="","",F49+G49+H49)</x:f>
      </x:c>
      <x:c r="K49" s="88" t="str">
        <x:f>IF(C49="","",MAX(0,SUMIFS(SONDERZAHLUNGEN!$E$9:$E$128,SONDERZAHLUNGEN!$B$9:$B$128,C49,SONDERZAHLUNGEN!$C$9:$C$128,A49,SONDERZAHLUNGEN!$H$9:$H$128,"OK",SONDERZAHLUNGEN!$F$9:$F$128,"Ja")-G49))</x:f>
      </x:c>
    </x:row>
    <x:row r="50" ht="19" customHeight="1">
      <x:c r="A50" s="90" t="n">
        <x:f>MONATSBUDGET!$A$9</x:f>
        <x:v>46266</x:v>
      </x:c>
      <x:c r="B50" t="n">
        <x:f>11</x:f>
        <x:v>11</x:v>
      </x:c>
      <x:c r="C50" t="str">
        <x:f>IF($N$19="","",$N$19)</x:f>
      </x:c>
      <x:c r="D50" s="88" t="str">
        <x:f>IF(C50="","",INDEX(FORDERUNGEN!$E$9:$E$28,MATCH(C50,FORDERUNGEN!$A$9:$A$28,0)))</x:f>
      </x:c>
      <x:c r="E50" s="88" t="str">
        <x:f>IF(C50="","",ROUND(D50*$P$19/12,2))</x:f>
      </x:c>
      <x:c r="F50" s="88" t="str">
        <x:f>IF(C50="","",MIN(D50+E50,$Q$19))</x:f>
      </x:c>
      <x:c r="G50" s="88" t="str">
        <x:f>IF(C50="","",MIN(MAX(0,D50+E50-F50),SUMIFS(SONDERZAHLUNGEN!$E$9:$E$128,SONDERZAHLUNGEN!$B$9:$B$128,C50,SONDERZAHLUNGEN!$C$9:$C$128,A50,SONDERZAHLUNGEN!$H$9:$H$128,"OK",SONDERZAHLUNGEN!$F$9:$F$128,"Ja")))</x:f>
      </x:c>
      <x:c r="H50" s="88" t="str">
        <x:f>IF(C50="","",MIN(MAX(0,D50+E50-F50-G50),MAX(0,IF(MONATSBUDGET!$C$9="",0,MONATSBUDGET!$C$9)-SUM(F40:F59)-SUM(H40:H49))))</x:f>
      </x:c>
      <x:c r="I50" s="88" t="str">
        <x:f>IF(C50="","",MAX(0,ROUND(D50+E50-F50-G50-H50,2)))</x:f>
      </x:c>
      <x:c r="J50" s="88" t="str">
        <x:f>IF(C50="","",F50+G50+H50)</x:f>
      </x:c>
      <x:c r="K50" s="88" t="str">
        <x:f>IF(C50="","",MAX(0,SUMIFS(SONDERZAHLUNGEN!$E$9:$E$128,SONDERZAHLUNGEN!$B$9:$B$128,C50,SONDERZAHLUNGEN!$C$9:$C$128,A50,SONDERZAHLUNGEN!$H$9:$H$128,"OK",SONDERZAHLUNGEN!$F$9:$F$128,"Ja")-G50))</x:f>
      </x:c>
    </x:row>
    <x:row r="51" ht="19" customHeight="1">
      <x:c r="A51" s="90" t="n">
        <x:f>MONATSBUDGET!$A$9</x:f>
        <x:v>46266</x:v>
      </x:c>
      <x:c r="B51" t="n">
        <x:f>12</x:f>
        <x:v>12</x:v>
      </x:c>
      <x:c r="C51" t="str">
        <x:f>IF($N$20="","",$N$20)</x:f>
      </x:c>
      <x:c r="D51" s="88" t="str">
        <x:f>IF(C51="","",INDEX(FORDERUNGEN!$E$9:$E$28,MATCH(C51,FORDERUNGEN!$A$9:$A$28,0)))</x:f>
      </x:c>
      <x:c r="E51" s="88" t="str">
        <x:f>IF(C51="","",ROUND(D51*$P$20/12,2))</x:f>
      </x:c>
      <x:c r="F51" s="88" t="str">
        <x:f>IF(C51="","",MIN(D51+E51,$Q$20))</x:f>
      </x:c>
      <x:c r="G51" s="88" t="str">
        <x:f>IF(C51="","",MIN(MAX(0,D51+E51-F51),SUMIFS(SONDERZAHLUNGEN!$E$9:$E$128,SONDERZAHLUNGEN!$B$9:$B$128,C51,SONDERZAHLUNGEN!$C$9:$C$128,A51,SONDERZAHLUNGEN!$H$9:$H$128,"OK",SONDERZAHLUNGEN!$F$9:$F$128,"Ja")))</x:f>
      </x:c>
      <x:c r="H51" s="88" t="str">
        <x:f>IF(C51="","",MIN(MAX(0,D51+E51-F51-G51),MAX(0,IF(MONATSBUDGET!$C$9="",0,MONATSBUDGET!$C$9)-SUM(F40:F59)-SUM(H40:H50))))</x:f>
      </x:c>
      <x:c r="I51" s="88" t="str">
        <x:f>IF(C51="","",MAX(0,ROUND(D51+E51-F51-G51-H51,2)))</x:f>
      </x:c>
      <x:c r="J51" s="88" t="str">
        <x:f>IF(C51="","",F51+G51+H51)</x:f>
      </x:c>
      <x:c r="K51" s="88" t="str">
        <x:f>IF(C51="","",MAX(0,SUMIFS(SONDERZAHLUNGEN!$E$9:$E$128,SONDERZAHLUNGEN!$B$9:$B$128,C51,SONDERZAHLUNGEN!$C$9:$C$128,A51,SONDERZAHLUNGEN!$H$9:$H$128,"OK",SONDERZAHLUNGEN!$F$9:$F$128,"Ja")-G51))</x:f>
      </x:c>
    </x:row>
    <x:row r="52" ht="19" customHeight="1">
      <x:c r="A52" s="90" t="n">
        <x:f>MONATSBUDGET!$A$9</x:f>
        <x:v>46266</x:v>
      </x:c>
      <x:c r="B52" t="n">
        <x:f>13</x:f>
        <x:v>13</x:v>
      </x:c>
      <x:c r="C52" t="str">
        <x:f>IF($N$21="","",$N$21)</x:f>
      </x:c>
      <x:c r="D52" s="88" t="str">
        <x:f>IF(C52="","",INDEX(FORDERUNGEN!$E$9:$E$28,MATCH(C52,FORDERUNGEN!$A$9:$A$28,0)))</x:f>
      </x:c>
      <x:c r="E52" s="88" t="str">
        <x:f>IF(C52="","",ROUND(D52*$P$21/12,2))</x:f>
      </x:c>
      <x:c r="F52" s="88" t="str">
        <x:f>IF(C52="","",MIN(D52+E52,$Q$21))</x:f>
      </x:c>
      <x:c r="G52" s="88" t="str">
        <x:f>IF(C52="","",MIN(MAX(0,D52+E52-F52),SUMIFS(SONDERZAHLUNGEN!$E$9:$E$128,SONDERZAHLUNGEN!$B$9:$B$128,C52,SONDERZAHLUNGEN!$C$9:$C$128,A52,SONDERZAHLUNGEN!$H$9:$H$128,"OK",SONDERZAHLUNGEN!$F$9:$F$128,"Ja")))</x:f>
      </x:c>
      <x:c r="H52" s="88" t="str">
        <x:f>IF(C52="","",MIN(MAX(0,D52+E52-F52-G52),MAX(0,IF(MONATSBUDGET!$C$9="",0,MONATSBUDGET!$C$9)-SUM(F40:F59)-SUM(H40:H51))))</x:f>
      </x:c>
      <x:c r="I52" s="88" t="str">
        <x:f>IF(C52="","",MAX(0,ROUND(D52+E52-F52-G52-H52,2)))</x:f>
      </x:c>
      <x:c r="J52" s="88" t="str">
        <x:f>IF(C52="","",F52+G52+H52)</x:f>
      </x:c>
      <x:c r="K52" s="88" t="str">
        <x:f>IF(C52="","",MAX(0,SUMIFS(SONDERZAHLUNGEN!$E$9:$E$128,SONDERZAHLUNGEN!$B$9:$B$128,C52,SONDERZAHLUNGEN!$C$9:$C$128,A52,SONDERZAHLUNGEN!$H$9:$H$128,"OK",SONDERZAHLUNGEN!$F$9:$F$128,"Ja")-G52))</x:f>
      </x:c>
    </x:row>
    <x:row r="53" ht="19" customHeight="1">
      <x:c r="A53" s="90" t="n">
        <x:f>MONATSBUDGET!$A$9</x:f>
        <x:v>46266</x:v>
      </x:c>
      <x:c r="B53" t="n">
        <x:f>14</x:f>
        <x:v>14</x:v>
      </x:c>
      <x:c r="C53" t="str">
        <x:f>IF($N$22="","",$N$22)</x:f>
      </x:c>
      <x:c r="D53" s="88" t="str">
        <x:f>IF(C53="","",INDEX(FORDERUNGEN!$E$9:$E$28,MATCH(C53,FORDERUNGEN!$A$9:$A$28,0)))</x:f>
      </x:c>
      <x:c r="E53" s="88" t="str">
        <x:f>IF(C53="","",ROUND(D53*$P$22/12,2))</x:f>
      </x:c>
      <x:c r="F53" s="88" t="str">
        <x:f>IF(C53="","",MIN(D53+E53,$Q$22))</x:f>
      </x:c>
      <x:c r="G53" s="88" t="str">
        <x:f>IF(C53="","",MIN(MAX(0,D53+E53-F53),SUMIFS(SONDERZAHLUNGEN!$E$9:$E$128,SONDERZAHLUNGEN!$B$9:$B$128,C53,SONDERZAHLUNGEN!$C$9:$C$128,A53,SONDERZAHLUNGEN!$H$9:$H$128,"OK",SONDERZAHLUNGEN!$F$9:$F$128,"Ja")))</x:f>
      </x:c>
      <x:c r="H53" s="88" t="str">
        <x:f>IF(C53="","",MIN(MAX(0,D53+E53-F53-G53),MAX(0,IF(MONATSBUDGET!$C$9="",0,MONATSBUDGET!$C$9)-SUM(F40:F59)-SUM(H40:H52))))</x:f>
      </x:c>
      <x:c r="I53" s="88" t="str">
        <x:f>IF(C53="","",MAX(0,ROUND(D53+E53-F53-G53-H53,2)))</x:f>
      </x:c>
      <x:c r="J53" s="88" t="str">
        <x:f>IF(C53="","",F53+G53+H53)</x:f>
      </x:c>
      <x:c r="K53" s="88" t="str">
        <x:f>IF(C53="","",MAX(0,SUMIFS(SONDERZAHLUNGEN!$E$9:$E$128,SONDERZAHLUNGEN!$B$9:$B$128,C53,SONDERZAHLUNGEN!$C$9:$C$128,A53,SONDERZAHLUNGEN!$H$9:$H$128,"OK",SONDERZAHLUNGEN!$F$9:$F$128,"Ja")-G53))</x:f>
      </x:c>
    </x:row>
    <x:row r="54" ht="19" customHeight="1">
      <x:c r="A54" s="90" t="n">
        <x:f>MONATSBUDGET!$A$9</x:f>
        <x:v>46266</x:v>
      </x:c>
      <x:c r="B54" t="n">
        <x:f>15</x:f>
        <x:v>15</x:v>
      </x:c>
      <x:c r="C54" t="str">
        <x:f>IF($N$23="","",$N$23)</x:f>
      </x:c>
      <x:c r="D54" s="88" t="str">
        <x:f>IF(C54="","",INDEX(FORDERUNGEN!$E$9:$E$28,MATCH(C54,FORDERUNGEN!$A$9:$A$28,0)))</x:f>
      </x:c>
      <x:c r="E54" s="88" t="str">
        <x:f>IF(C54="","",ROUND(D54*$P$23/12,2))</x:f>
      </x:c>
      <x:c r="F54" s="88" t="str">
        <x:f>IF(C54="","",MIN(D54+E54,$Q$23))</x:f>
      </x:c>
      <x:c r="G54" s="88" t="str">
        <x:f>IF(C54="","",MIN(MAX(0,D54+E54-F54),SUMIFS(SONDERZAHLUNGEN!$E$9:$E$128,SONDERZAHLUNGEN!$B$9:$B$128,C54,SONDERZAHLUNGEN!$C$9:$C$128,A54,SONDERZAHLUNGEN!$H$9:$H$128,"OK",SONDERZAHLUNGEN!$F$9:$F$128,"Ja")))</x:f>
      </x:c>
      <x:c r="H54" s="88" t="str">
        <x:f>IF(C54="","",MIN(MAX(0,D54+E54-F54-G54),MAX(0,IF(MONATSBUDGET!$C$9="",0,MONATSBUDGET!$C$9)-SUM(F40:F59)-SUM(H40:H53))))</x:f>
      </x:c>
      <x:c r="I54" s="88" t="str">
        <x:f>IF(C54="","",MAX(0,ROUND(D54+E54-F54-G54-H54,2)))</x:f>
      </x:c>
      <x:c r="J54" s="88" t="str">
        <x:f>IF(C54="","",F54+G54+H54)</x:f>
      </x:c>
      <x:c r="K54" s="88" t="str">
        <x:f>IF(C54="","",MAX(0,SUMIFS(SONDERZAHLUNGEN!$E$9:$E$128,SONDERZAHLUNGEN!$B$9:$B$128,C54,SONDERZAHLUNGEN!$C$9:$C$128,A54,SONDERZAHLUNGEN!$H$9:$H$128,"OK",SONDERZAHLUNGEN!$F$9:$F$128,"Ja")-G54))</x:f>
      </x:c>
    </x:row>
    <x:row r="55" ht="19" customHeight="1">
      <x:c r="A55" s="90" t="n">
        <x:f>MONATSBUDGET!$A$9</x:f>
        <x:v>46266</x:v>
      </x:c>
      <x:c r="B55" t="n">
        <x:f>16</x:f>
        <x:v>16</x:v>
      </x:c>
      <x:c r="C55" t="str">
        <x:f>IF($N$24="","",$N$24)</x:f>
      </x:c>
      <x:c r="D55" s="88" t="str">
        <x:f>IF(C55="","",INDEX(FORDERUNGEN!$E$9:$E$28,MATCH(C55,FORDERUNGEN!$A$9:$A$28,0)))</x:f>
      </x:c>
      <x:c r="E55" s="88" t="str">
        <x:f>IF(C55="","",ROUND(D55*$P$24/12,2))</x:f>
      </x:c>
      <x:c r="F55" s="88" t="str">
        <x:f>IF(C55="","",MIN(D55+E55,$Q$24))</x:f>
      </x:c>
      <x:c r="G55" s="88" t="str">
        <x:f>IF(C55="","",MIN(MAX(0,D55+E55-F55),SUMIFS(SONDERZAHLUNGEN!$E$9:$E$128,SONDERZAHLUNGEN!$B$9:$B$128,C55,SONDERZAHLUNGEN!$C$9:$C$128,A55,SONDERZAHLUNGEN!$H$9:$H$128,"OK",SONDERZAHLUNGEN!$F$9:$F$128,"Ja")))</x:f>
      </x:c>
      <x:c r="H55" s="88" t="str">
        <x:f>IF(C55="","",MIN(MAX(0,D55+E55-F55-G55),MAX(0,IF(MONATSBUDGET!$C$9="",0,MONATSBUDGET!$C$9)-SUM(F40:F59)-SUM(H40:H54))))</x:f>
      </x:c>
      <x:c r="I55" s="88" t="str">
        <x:f>IF(C55="","",MAX(0,ROUND(D55+E55-F55-G55-H55,2)))</x:f>
      </x:c>
      <x:c r="J55" s="88" t="str">
        <x:f>IF(C55="","",F55+G55+H55)</x:f>
      </x:c>
      <x:c r="K55" s="88" t="str">
        <x:f>IF(C55="","",MAX(0,SUMIFS(SONDERZAHLUNGEN!$E$9:$E$128,SONDERZAHLUNGEN!$B$9:$B$128,C55,SONDERZAHLUNGEN!$C$9:$C$128,A55,SONDERZAHLUNGEN!$H$9:$H$128,"OK",SONDERZAHLUNGEN!$F$9:$F$128,"Ja")-G55))</x:f>
      </x:c>
    </x:row>
    <x:row r="56" ht="19" customHeight="1">
      <x:c r="A56" s="90" t="n">
        <x:f>MONATSBUDGET!$A$9</x:f>
        <x:v>46266</x:v>
      </x:c>
      <x:c r="B56" t="n">
        <x:f>17</x:f>
        <x:v>17</x:v>
      </x:c>
      <x:c r="C56" t="str">
        <x:f>IF($N$25="","",$N$25)</x:f>
      </x:c>
      <x:c r="D56" s="88" t="str">
        <x:f>IF(C56="","",INDEX(FORDERUNGEN!$E$9:$E$28,MATCH(C56,FORDERUNGEN!$A$9:$A$28,0)))</x:f>
      </x:c>
      <x:c r="E56" s="88" t="str">
        <x:f>IF(C56="","",ROUND(D56*$P$25/12,2))</x:f>
      </x:c>
      <x:c r="F56" s="88" t="str">
        <x:f>IF(C56="","",MIN(D56+E56,$Q$25))</x:f>
      </x:c>
      <x:c r="G56" s="88" t="str">
        <x:f>IF(C56="","",MIN(MAX(0,D56+E56-F56),SUMIFS(SONDERZAHLUNGEN!$E$9:$E$128,SONDERZAHLUNGEN!$B$9:$B$128,C56,SONDERZAHLUNGEN!$C$9:$C$128,A56,SONDERZAHLUNGEN!$H$9:$H$128,"OK",SONDERZAHLUNGEN!$F$9:$F$128,"Ja")))</x:f>
      </x:c>
      <x:c r="H56" s="88" t="str">
        <x:f>IF(C56="","",MIN(MAX(0,D56+E56-F56-G56),MAX(0,IF(MONATSBUDGET!$C$9="",0,MONATSBUDGET!$C$9)-SUM(F40:F59)-SUM(H40:H55))))</x:f>
      </x:c>
      <x:c r="I56" s="88" t="str">
        <x:f>IF(C56="","",MAX(0,ROUND(D56+E56-F56-G56-H56,2)))</x:f>
      </x:c>
      <x:c r="J56" s="88" t="str">
        <x:f>IF(C56="","",F56+G56+H56)</x:f>
      </x:c>
      <x:c r="K56" s="88" t="str">
        <x:f>IF(C56="","",MAX(0,SUMIFS(SONDERZAHLUNGEN!$E$9:$E$128,SONDERZAHLUNGEN!$B$9:$B$128,C56,SONDERZAHLUNGEN!$C$9:$C$128,A56,SONDERZAHLUNGEN!$H$9:$H$128,"OK",SONDERZAHLUNGEN!$F$9:$F$128,"Ja")-G56))</x:f>
      </x:c>
    </x:row>
    <x:row r="57" ht="19" customHeight="1">
      <x:c r="A57" s="90" t="n">
        <x:f>MONATSBUDGET!$A$9</x:f>
        <x:v>46266</x:v>
      </x:c>
      <x:c r="B57" t="n">
        <x:f>18</x:f>
        <x:v>18</x:v>
      </x:c>
      <x:c r="C57" t="str">
        <x:f>IF($N$26="","",$N$26)</x:f>
      </x:c>
      <x:c r="D57" s="88" t="str">
        <x:f>IF(C57="","",INDEX(FORDERUNGEN!$E$9:$E$28,MATCH(C57,FORDERUNGEN!$A$9:$A$28,0)))</x:f>
      </x:c>
      <x:c r="E57" s="88" t="str">
        <x:f>IF(C57="","",ROUND(D57*$P$26/12,2))</x:f>
      </x:c>
      <x:c r="F57" s="88" t="str">
        <x:f>IF(C57="","",MIN(D57+E57,$Q$26))</x:f>
      </x:c>
      <x:c r="G57" s="88" t="str">
        <x:f>IF(C57="","",MIN(MAX(0,D57+E57-F57),SUMIFS(SONDERZAHLUNGEN!$E$9:$E$128,SONDERZAHLUNGEN!$B$9:$B$128,C57,SONDERZAHLUNGEN!$C$9:$C$128,A57,SONDERZAHLUNGEN!$H$9:$H$128,"OK",SONDERZAHLUNGEN!$F$9:$F$128,"Ja")))</x:f>
      </x:c>
      <x:c r="H57" s="88" t="str">
        <x:f>IF(C57="","",MIN(MAX(0,D57+E57-F57-G57),MAX(0,IF(MONATSBUDGET!$C$9="",0,MONATSBUDGET!$C$9)-SUM(F40:F59)-SUM(H40:H56))))</x:f>
      </x:c>
      <x:c r="I57" s="88" t="str">
        <x:f>IF(C57="","",MAX(0,ROUND(D57+E57-F57-G57-H57,2)))</x:f>
      </x:c>
      <x:c r="J57" s="88" t="str">
        <x:f>IF(C57="","",F57+G57+H57)</x:f>
      </x:c>
      <x:c r="K57" s="88" t="str">
        <x:f>IF(C57="","",MAX(0,SUMIFS(SONDERZAHLUNGEN!$E$9:$E$128,SONDERZAHLUNGEN!$B$9:$B$128,C57,SONDERZAHLUNGEN!$C$9:$C$128,A57,SONDERZAHLUNGEN!$H$9:$H$128,"OK",SONDERZAHLUNGEN!$F$9:$F$128,"Ja")-G57))</x:f>
      </x:c>
    </x:row>
    <x:row r="58" ht="19" customHeight="1">
      <x:c r="A58" s="90" t="n">
        <x:f>MONATSBUDGET!$A$9</x:f>
        <x:v>46266</x:v>
      </x:c>
      <x:c r="B58" t="n">
        <x:f>19</x:f>
        <x:v>19</x:v>
      </x:c>
      <x:c r="C58" t="str">
        <x:f>IF($N$27="","",$N$27)</x:f>
      </x:c>
      <x:c r="D58" s="88" t="str">
        <x:f>IF(C58="","",INDEX(FORDERUNGEN!$E$9:$E$28,MATCH(C58,FORDERUNGEN!$A$9:$A$28,0)))</x:f>
      </x:c>
      <x:c r="E58" s="88" t="str">
        <x:f>IF(C58="","",ROUND(D58*$P$27/12,2))</x:f>
      </x:c>
      <x:c r="F58" s="88" t="str">
        <x:f>IF(C58="","",MIN(D58+E58,$Q$27))</x:f>
      </x:c>
      <x:c r="G58" s="88" t="str">
        <x:f>IF(C58="","",MIN(MAX(0,D58+E58-F58),SUMIFS(SONDERZAHLUNGEN!$E$9:$E$128,SONDERZAHLUNGEN!$B$9:$B$128,C58,SONDERZAHLUNGEN!$C$9:$C$128,A58,SONDERZAHLUNGEN!$H$9:$H$128,"OK",SONDERZAHLUNGEN!$F$9:$F$128,"Ja")))</x:f>
      </x:c>
      <x:c r="H58" s="88" t="str">
        <x:f>IF(C58="","",MIN(MAX(0,D58+E58-F58-G58),MAX(0,IF(MONATSBUDGET!$C$9="",0,MONATSBUDGET!$C$9)-SUM(F40:F59)-SUM(H40:H57))))</x:f>
      </x:c>
      <x:c r="I58" s="88" t="str">
        <x:f>IF(C58="","",MAX(0,ROUND(D58+E58-F58-G58-H58,2)))</x:f>
      </x:c>
      <x:c r="J58" s="88" t="str">
        <x:f>IF(C58="","",F58+G58+H58)</x:f>
      </x:c>
      <x:c r="K58" s="88" t="str">
        <x:f>IF(C58="","",MAX(0,SUMIFS(SONDERZAHLUNGEN!$E$9:$E$128,SONDERZAHLUNGEN!$B$9:$B$128,C58,SONDERZAHLUNGEN!$C$9:$C$128,A58,SONDERZAHLUNGEN!$H$9:$H$128,"OK",SONDERZAHLUNGEN!$F$9:$F$128,"Ja")-G58))</x:f>
      </x:c>
    </x:row>
    <x:row r="59" ht="19" customHeight="1">
      <x:c r="A59" s="90" t="n">
        <x:f>MONATSBUDGET!$A$9</x:f>
        <x:v>46266</x:v>
      </x:c>
      <x:c r="B59" t="n">
        <x:f>20</x:f>
        <x:v>20</x:v>
      </x:c>
      <x:c r="C59" t="str">
        <x:f>IF($N$28="","",$N$28)</x:f>
      </x:c>
      <x:c r="D59" s="88" t="str">
        <x:f>IF(C59="","",INDEX(FORDERUNGEN!$E$9:$E$28,MATCH(C59,FORDERUNGEN!$A$9:$A$28,0)))</x:f>
      </x:c>
      <x:c r="E59" s="88" t="str">
        <x:f>IF(C59="","",ROUND(D59*$P$28/12,2))</x:f>
      </x:c>
      <x:c r="F59" s="88" t="str">
        <x:f>IF(C59="","",MIN(D59+E59,$Q$28))</x:f>
      </x:c>
      <x:c r="G59" s="88" t="str">
        <x:f>IF(C59="","",MIN(MAX(0,D59+E59-F59),SUMIFS(SONDERZAHLUNGEN!$E$9:$E$128,SONDERZAHLUNGEN!$B$9:$B$128,C59,SONDERZAHLUNGEN!$C$9:$C$128,A59,SONDERZAHLUNGEN!$H$9:$H$128,"OK",SONDERZAHLUNGEN!$F$9:$F$128,"Ja")))</x:f>
      </x:c>
      <x:c r="H59" s="88" t="str">
        <x:f>IF(C59="","",MIN(MAX(0,D59+E59-F59-G59),MAX(0,IF(MONATSBUDGET!$C$9="",0,MONATSBUDGET!$C$9)-SUM(F40:F59)-SUM(H40:H58))))</x:f>
      </x:c>
      <x:c r="I59" s="88" t="str">
        <x:f>IF(C59="","",MAX(0,ROUND(D59+E59-F59-G59-H59,2)))</x:f>
      </x:c>
      <x:c r="J59" s="88" t="str">
        <x:f>IF(C59="","",F59+G59+H59)</x:f>
      </x:c>
      <x:c r="K59" s="88" t="str">
        <x:f>IF(C59="","",MAX(0,SUMIFS(SONDERZAHLUNGEN!$E$9:$E$128,SONDERZAHLUNGEN!$B$9:$B$128,C59,SONDERZAHLUNGEN!$C$9:$C$128,A59,SONDERZAHLUNGEN!$H$9:$H$128,"OK",SONDERZAHLUNGEN!$F$9:$F$128,"Ja")-G59))</x:f>
      </x:c>
    </x:row>
    <x:row r="60" ht="19" customHeight="1">
      <x:c r="A60" s="90" t="n">
        <x:f>MONATSBUDGET!$A$10</x:f>
        <x:v>46296</x:v>
      </x:c>
      <x:c r="B60" t="n">
        <x:f>1</x:f>
        <x:v>1</x:v>
      </x:c>
      <x:c r="C60" t="str">
        <x:f>IF($N$9="","",$N$9)</x:f>
      </x:c>
      <x:c r="D60" s="88" t="str">
        <x:f>IF(C60="","",I40)</x:f>
      </x:c>
      <x:c r="E60" s="88" t="str">
        <x:f>IF(C60="","",ROUND(D60*$P$9/12,2))</x:f>
      </x:c>
      <x:c r="F60" s="88" t="str">
        <x:f>IF(C60="","",MIN(D60+E60,$Q$9))</x:f>
      </x:c>
      <x:c r="G60" s="88" t="str">
        <x:f>IF(C60="","",MIN(MAX(0,D60+E60-F60),SUMIFS(SONDERZAHLUNGEN!$E$9:$E$128,SONDERZAHLUNGEN!$B$9:$B$128,C60,SONDERZAHLUNGEN!$C$9:$C$128,A60,SONDERZAHLUNGEN!$H$9:$H$128,"OK",SONDERZAHLUNGEN!$F$9:$F$128,"Ja")))</x:f>
      </x:c>
      <x:c r="H60" s="88" t="str">
        <x:f>IF(C60="","",MIN(MAX(0,D60+E60-F60-G60),MAX(0,IF(MONATSBUDGET!$C$10="",0,MONATSBUDGET!$C$10)-SUM(F60:F79)-0)))</x:f>
      </x:c>
      <x:c r="I60" s="88" t="str">
        <x:f>IF(C60="","",MAX(0,ROUND(D60+E60-F60-G60-H60,2)))</x:f>
      </x:c>
      <x:c r="J60" s="88" t="str">
        <x:f>IF(C60="","",F60+G60+H60)</x:f>
      </x:c>
      <x:c r="K60" s="88" t="str">
        <x:f>IF(C60="","",MAX(0,SUMIFS(SONDERZAHLUNGEN!$E$9:$E$128,SONDERZAHLUNGEN!$B$9:$B$128,C60,SONDERZAHLUNGEN!$C$9:$C$128,A60,SONDERZAHLUNGEN!$H$9:$H$128,"OK",SONDERZAHLUNGEN!$F$9:$F$128,"Ja")-G60))</x:f>
      </x:c>
    </x:row>
    <x:row r="61" ht="19" customHeight="1">
      <x:c r="A61" s="90" t="n">
        <x:f>MONATSBUDGET!$A$10</x:f>
        <x:v>46296</x:v>
      </x:c>
      <x:c r="B61" t="n">
        <x:f>2</x:f>
        <x:v>2</x:v>
      </x:c>
      <x:c r="C61" t="str">
        <x:f>IF($N$10="","",$N$10)</x:f>
      </x:c>
      <x:c r="D61" s="88" t="str">
        <x:f>IF(C61="","",I41)</x:f>
      </x:c>
      <x:c r="E61" s="88" t="str">
        <x:f>IF(C61="","",ROUND(D61*$P$10/12,2))</x:f>
      </x:c>
      <x:c r="F61" s="88" t="str">
        <x:f>IF(C61="","",MIN(D61+E61,$Q$10))</x:f>
      </x:c>
      <x:c r="G61" s="88" t="str">
        <x:f>IF(C61="","",MIN(MAX(0,D61+E61-F61),SUMIFS(SONDERZAHLUNGEN!$E$9:$E$128,SONDERZAHLUNGEN!$B$9:$B$128,C61,SONDERZAHLUNGEN!$C$9:$C$128,A61,SONDERZAHLUNGEN!$H$9:$H$128,"OK",SONDERZAHLUNGEN!$F$9:$F$128,"Ja")))</x:f>
      </x:c>
      <x:c r="H61" s="88" t="str">
        <x:f>IF(C61="","",MIN(MAX(0,D61+E61-F61-G61),MAX(0,IF(MONATSBUDGET!$C$10="",0,MONATSBUDGET!$C$10)-SUM(F60:F79)-SUM(H60:H60))))</x:f>
      </x:c>
      <x:c r="I61" s="88" t="str">
        <x:f>IF(C61="","",MAX(0,ROUND(D61+E61-F61-G61-H61,2)))</x:f>
      </x:c>
      <x:c r="J61" s="88" t="str">
        <x:f>IF(C61="","",F61+G61+H61)</x:f>
      </x:c>
      <x:c r="K61" s="88" t="str">
        <x:f>IF(C61="","",MAX(0,SUMIFS(SONDERZAHLUNGEN!$E$9:$E$128,SONDERZAHLUNGEN!$B$9:$B$128,C61,SONDERZAHLUNGEN!$C$9:$C$128,A61,SONDERZAHLUNGEN!$H$9:$H$128,"OK",SONDERZAHLUNGEN!$F$9:$F$128,"Ja")-G61))</x:f>
      </x:c>
    </x:row>
    <x:row r="62" ht="19" customHeight="1">
      <x:c r="A62" s="90" t="n">
        <x:f>MONATSBUDGET!$A$10</x:f>
        <x:v>46296</x:v>
      </x:c>
      <x:c r="B62" t="n">
        <x:f>3</x:f>
        <x:v>3</x:v>
      </x:c>
      <x:c r="C62" t="str">
        <x:f>IF($N$11="","",$N$11)</x:f>
      </x:c>
      <x:c r="D62" s="88" t="str">
        <x:f>IF(C62="","",I42)</x:f>
      </x:c>
      <x:c r="E62" s="88" t="str">
        <x:f>IF(C62="","",ROUND(D62*$P$11/12,2))</x:f>
      </x:c>
      <x:c r="F62" s="88" t="str">
        <x:f>IF(C62="","",MIN(D62+E62,$Q$11))</x:f>
      </x:c>
      <x:c r="G62" s="88" t="str">
        <x:f>IF(C62="","",MIN(MAX(0,D62+E62-F62),SUMIFS(SONDERZAHLUNGEN!$E$9:$E$128,SONDERZAHLUNGEN!$B$9:$B$128,C62,SONDERZAHLUNGEN!$C$9:$C$128,A62,SONDERZAHLUNGEN!$H$9:$H$128,"OK",SONDERZAHLUNGEN!$F$9:$F$128,"Ja")))</x:f>
      </x:c>
      <x:c r="H62" s="88" t="str">
        <x:f>IF(C62="","",MIN(MAX(0,D62+E62-F62-G62),MAX(0,IF(MONATSBUDGET!$C$10="",0,MONATSBUDGET!$C$10)-SUM(F60:F79)-SUM(H60:H61))))</x:f>
      </x:c>
      <x:c r="I62" s="88" t="str">
        <x:f>IF(C62="","",MAX(0,ROUND(D62+E62-F62-G62-H62,2)))</x:f>
      </x:c>
      <x:c r="J62" s="88" t="str">
        <x:f>IF(C62="","",F62+G62+H62)</x:f>
      </x:c>
      <x:c r="K62" s="88" t="str">
        <x:f>IF(C62="","",MAX(0,SUMIFS(SONDERZAHLUNGEN!$E$9:$E$128,SONDERZAHLUNGEN!$B$9:$B$128,C62,SONDERZAHLUNGEN!$C$9:$C$128,A62,SONDERZAHLUNGEN!$H$9:$H$128,"OK",SONDERZAHLUNGEN!$F$9:$F$128,"Ja")-G62))</x:f>
      </x:c>
    </x:row>
    <x:row r="63" ht="19" customHeight="1">
      <x:c r="A63" s="90" t="n">
        <x:f>MONATSBUDGET!$A$10</x:f>
        <x:v>46296</x:v>
      </x:c>
      <x:c r="B63" t="n">
        <x:f>4</x:f>
        <x:v>4</x:v>
      </x:c>
      <x:c r="C63" t="str">
        <x:f>IF($N$12="","",$N$12)</x:f>
      </x:c>
      <x:c r="D63" s="88" t="str">
        <x:f>IF(C63="","",I43)</x:f>
      </x:c>
      <x:c r="E63" s="88" t="str">
        <x:f>IF(C63="","",ROUND(D63*$P$12/12,2))</x:f>
      </x:c>
      <x:c r="F63" s="88" t="str">
        <x:f>IF(C63="","",MIN(D63+E63,$Q$12))</x:f>
      </x:c>
      <x:c r="G63" s="88" t="str">
        <x:f>IF(C63="","",MIN(MAX(0,D63+E63-F63),SUMIFS(SONDERZAHLUNGEN!$E$9:$E$128,SONDERZAHLUNGEN!$B$9:$B$128,C63,SONDERZAHLUNGEN!$C$9:$C$128,A63,SONDERZAHLUNGEN!$H$9:$H$128,"OK",SONDERZAHLUNGEN!$F$9:$F$128,"Ja")))</x:f>
      </x:c>
      <x:c r="H63" s="88" t="str">
        <x:f>IF(C63="","",MIN(MAX(0,D63+E63-F63-G63),MAX(0,IF(MONATSBUDGET!$C$10="",0,MONATSBUDGET!$C$10)-SUM(F60:F79)-SUM(H60:H62))))</x:f>
      </x:c>
      <x:c r="I63" s="88" t="str">
        <x:f>IF(C63="","",MAX(0,ROUND(D63+E63-F63-G63-H63,2)))</x:f>
      </x:c>
      <x:c r="J63" s="88" t="str">
        <x:f>IF(C63="","",F63+G63+H63)</x:f>
      </x:c>
      <x:c r="K63" s="88" t="str">
        <x:f>IF(C63="","",MAX(0,SUMIFS(SONDERZAHLUNGEN!$E$9:$E$128,SONDERZAHLUNGEN!$B$9:$B$128,C63,SONDERZAHLUNGEN!$C$9:$C$128,A63,SONDERZAHLUNGEN!$H$9:$H$128,"OK",SONDERZAHLUNGEN!$F$9:$F$128,"Ja")-G63))</x:f>
      </x:c>
    </x:row>
    <x:row r="64" ht="19" customHeight="1">
      <x:c r="A64" s="90" t="n">
        <x:f>MONATSBUDGET!$A$10</x:f>
        <x:v>46296</x:v>
      </x:c>
      <x:c r="B64" t="n">
        <x:f>5</x:f>
        <x:v>5</x:v>
      </x:c>
      <x:c r="C64" t="str">
        <x:f>IF($N$13="","",$N$13)</x:f>
      </x:c>
      <x:c r="D64" s="88" t="str">
        <x:f>IF(C64="","",I44)</x:f>
      </x:c>
      <x:c r="E64" s="88" t="str">
        <x:f>IF(C64="","",ROUND(D64*$P$13/12,2))</x:f>
      </x:c>
      <x:c r="F64" s="88" t="str">
        <x:f>IF(C64="","",MIN(D64+E64,$Q$13))</x:f>
      </x:c>
      <x:c r="G64" s="88" t="str">
        <x:f>IF(C64="","",MIN(MAX(0,D64+E64-F64),SUMIFS(SONDERZAHLUNGEN!$E$9:$E$128,SONDERZAHLUNGEN!$B$9:$B$128,C64,SONDERZAHLUNGEN!$C$9:$C$128,A64,SONDERZAHLUNGEN!$H$9:$H$128,"OK",SONDERZAHLUNGEN!$F$9:$F$128,"Ja")))</x:f>
      </x:c>
      <x:c r="H64" s="88" t="str">
        <x:f>IF(C64="","",MIN(MAX(0,D64+E64-F64-G64),MAX(0,IF(MONATSBUDGET!$C$10="",0,MONATSBUDGET!$C$10)-SUM(F60:F79)-SUM(H60:H63))))</x:f>
      </x:c>
      <x:c r="I64" s="88" t="str">
        <x:f>IF(C64="","",MAX(0,ROUND(D64+E64-F64-G64-H64,2)))</x:f>
      </x:c>
      <x:c r="J64" s="88" t="str">
        <x:f>IF(C64="","",F64+G64+H64)</x:f>
      </x:c>
      <x:c r="K64" s="88" t="str">
        <x:f>IF(C64="","",MAX(0,SUMIFS(SONDERZAHLUNGEN!$E$9:$E$128,SONDERZAHLUNGEN!$B$9:$B$128,C64,SONDERZAHLUNGEN!$C$9:$C$128,A64,SONDERZAHLUNGEN!$H$9:$H$128,"OK",SONDERZAHLUNGEN!$F$9:$F$128,"Ja")-G64))</x:f>
      </x:c>
    </x:row>
    <x:row r="65" ht="19" customHeight="1">
      <x:c r="A65" s="90" t="n">
        <x:f>MONATSBUDGET!$A$10</x:f>
        <x:v>46296</x:v>
      </x:c>
      <x:c r="B65" t="n">
        <x:f>6</x:f>
        <x:v>6</x:v>
      </x:c>
      <x:c r="C65" t="str">
        <x:f>IF($N$14="","",$N$14)</x:f>
      </x:c>
      <x:c r="D65" s="88" t="str">
        <x:f>IF(C65="","",I45)</x:f>
      </x:c>
      <x:c r="E65" s="88" t="str">
        <x:f>IF(C65="","",ROUND(D65*$P$14/12,2))</x:f>
      </x:c>
      <x:c r="F65" s="88" t="str">
        <x:f>IF(C65="","",MIN(D65+E65,$Q$14))</x:f>
      </x:c>
      <x:c r="G65" s="88" t="str">
        <x:f>IF(C65="","",MIN(MAX(0,D65+E65-F65),SUMIFS(SONDERZAHLUNGEN!$E$9:$E$128,SONDERZAHLUNGEN!$B$9:$B$128,C65,SONDERZAHLUNGEN!$C$9:$C$128,A65,SONDERZAHLUNGEN!$H$9:$H$128,"OK",SONDERZAHLUNGEN!$F$9:$F$128,"Ja")))</x:f>
      </x:c>
      <x:c r="H65" s="88" t="str">
        <x:f>IF(C65="","",MIN(MAX(0,D65+E65-F65-G65),MAX(0,IF(MONATSBUDGET!$C$10="",0,MONATSBUDGET!$C$10)-SUM(F60:F79)-SUM(H60:H64))))</x:f>
      </x:c>
      <x:c r="I65" s="88" t="str">
        <x:f>IF(C65="","",MAX(0,ROUND(D65+E65-F65-G65-H65,2)))</x:f>
      </x:c>
      <x:c r="J65" s="88" t="str">
        <x:f>IF(C65="","",F65+G65+H65)</x:f>
      </x:c>
      <x:c r="K65" s="88" t="str">
        <x:f>IF(C65="","",MAX(0,SUMIFS(SONDERZAHLUNGEN!$E$9:$E$128,SONDERZAHLUNGEN!$B$9:$B$128,C65,SONDERZAHLUNGEN!$C$9:$C$128,A65,SONDERZAHLUNGEN!$H$9:$H$128,"OK",SONDERZAHLUNGEN!$F$9:$F$128,"Ja")-G65))</x:f>
      </x:c>
    </x:row>
    <x:row r="66" ht="19" customHeight="1">
      <x:c r="A66" s="90" t="n">
        <x:f>MONATSBUDGET!$A$10</x:f>
        <x:v>46296</x:v>
      </x:c>
      <x:c r="B66" t="n">
        <x:f>7</x:f>
        <x:v>7</x:v>
      </x:c>
      <x:c r="C66" t="str">
        <x:f>IF($N$15="","",$N$15)</x:f>
      </x:c>
      <x:c r="D66" s="88" t="str">
        <x:f>IF(C66="","",I46)</x:f>
      </x:c>
      <x:c r="E66" s="88" t="str">
        <x:f>IF(C66="","",ROUND(D66*$P$15/12,2))</x:f>
      </x:c>
      <x:c r="F66" s="88" t="str">
        <x:f>IF(C66="","",MIN(D66+E66,$Q$15))</x:f>
      </x:c>
      <x:c r="G66" s="88" t="str">
        <x:f>IF(C66="","",MIN(MAX(0,D66+E66-F66),SUMIFS(SONDERZAHLUNGEN!$E$9:$E$128,SONDERZAHLUNGEN!$B$9:$B$128,C66,SONDERZAHLUNGEN!$C$9:$C$128,A66,SONDERZAHLUNGEN!$H$9:$H$128,"OK",SONDERZAHLUNGEN!$F$9:$F$128,"Ja")))</x:f>
      </x:c>
      <x:c r="H66" s="88" t="str">
        <x:f>IF(C66="","",MIN(MAX(0,D66+E66-F66-G66),MAX(0,IF(MONATSBUDGET!$C$10="",0,MONATSBUDGET!$C$10)-SUM(F60:F79)-SUM(H60:H65))))</x:f>
      </x:c>
      <x:c r="I66" s="88" t="str">
        <x:f>IF(C66="","",MAX(0,ROUND(D66+E66-F66-G66-H66,2)))</x:f>
      </x:c>
      <x:c r="J66" s="88" t="str">
        <x:f>IF(C66="","",F66+G66+H66)</x:f>
      </x:c>
      <x:c r="K66" s="88" t="str">
        <x:f>IF(C66="","",MAX(0,SUMIFS(SONDERZAHLUNGEN!$E$9:$E$128,SONDERZAHLUNGEN!$B$9:$B$128,C66,SONDERZAHLUNGEN!$C$9:$C$128,A66,SONDERZAHLUNGEN!$H$9:$H$128,"OK",SONDERZAHLUNGEN!$F$9:$F$128,"Ja")-G66))</x:f>
      </x:c>
    </x:row>
    <x:row r="67" ht="19" customHeight="1">
      <x:c r="A67" s="90" t="n">
        <x:f>MONATSBUDGET!$A$10</x:f>
        <x:v>46296</x:v>
      </x:c>
      <x:c r="B67" t="n">
        <x:f>8</x:f>
        <x:v>8</x:v>
      </x:c>
      <x:c r="C67" t="str">
        <x:f>IF($N$16="","",$N$16)</x:f>
      </x:c>
      <x:c r="D67" s="88" t="str">
        <x:f>IF(C67="","",I47)</x:f>
      </x:c>
      <x:c r="E67" s="88" t="str">
        <x:f>IF(C67="","",ROUND(D67*$P$16/12,2))</x:f>
      </x:c>
      <x:c r="F67" s="88" t="str">
        <x:f>IF(C67="","",MIN(D67+E67,$Q$16))</x:f>
      </x:c>
      <x:c r="G67" s="88" t="str">
        <x:f>IF(C67="","",MIN(MAX(0,D67+E67-F67),SUMIFS(SONDERZAHLUNGEN!$E$9:$E$128,SONDERZAHLUNGEN!$B$9:$B$128,C67,SONDERZAHLUNGEN!$C$9:$C$128,A67,SONDERZAHLUNGEN!$H$9:$H$128,"OK",SONDERZAHLUNGEN!$F$9:$F$128,"Ja")))</x:f>
      </x:c>
      <x:c r="H67" s="88" t="str">
        <x:f>IF(C67="","",MIN(MAX(0,D67+E67-F67-G67),MAX(0,IF(MONATSBUDGET!$C$10="",0,MONATSBUDGET!$C$10)-SUM(F60:F79)-SUM(H60:H66))))</x:f>
      </x:c>
      <x:c r="I67" s="88" t="str">
        <x:f>IF(C67="","",MAX(0,ROUND(D67+E67-F67-G67-H67,2)))</x:f>
      </x:c>
      <x:c r="J67" s="88" t="str">
        <x:f>IF(C67="","",F67+G67+H67)</x:f>
      </x:c>
      <x:c r="K67" s="88" t="str">
        <x:f>IF(C67="","",MAX(0,SUMIFS(SONDERZAHLUNGEN!$E$9:$E$128,SONDERZAHLUNGEN!$B$9:$B$128,C67,SONDERZAHLUNGEN!$C$9:$C$128,A67,SONDERZAHLUNGEN!$H$9:$H$128,"OK",SONDERZAHLUNGEN!$F$9:$F$128,"Ja")-G67))</x:f>
      </x:c>
    </x:row>
    <x:row r="68" ht="19" customHeight="1">
      <x:c r="A68" s="90" t="n">
        <x:f>MONATSBUDGET!$A$10</x:f>
        <x:v>46296</x:v>
      </x:c>
      <x:c r="B68" t="n">
        <x:f>9</x:f>
        <x:v>9</x:v>
      </x:c>
      <x:c r="C68" t="str">
        <x:f>IF($N$17="","",$N$17)</x:f>
      </x:c>
      <x:c r="D68" s="88" t="str">
        <x:f>IF(C68="","",I48)</x:f>
      </x:c>
      <x:c r="E68" s="88" t="str">
        <x:f>IF(C68="","",ROUND(D68*$P$17/12,2))</x:f>
      </x:c>
      <x:c r="F68" s="88" t="str">
        <x:f>IF(C68="","",MIN(D68+E68,$Q$17))</x:f>
      </x:c>
      <x:c r="G68" s="88" t="str">
        <x:f>IF(C68="","",MIN(MAX(0,D68+E68-F68),SUMIFS(SONDERZAHLUNGEN!$E$9:$E$128,SONDERZAHLUNGEN!$B$9:$B$128,C68,SONDERZAHLUNGEN!$C$9:$C$128,A68,SONDERZAHLUNGEN!$H$9:$H$128,"OK",SONDERZAHLUNGEN!$F$9:$F$128,"Ja")))</x:f>
      </x:c>
      <x:c r="H68" s="88" t="str">
        <x:f>IF(C68="","",MIN(MAX(0,D68+E68-F68-G68),MAX(0,IF(MONATSBUDGET!$C$10="",0,MONATSBUDGET!$C$10)-SUM(F60:F79)-SUM(H60:H67))))</x:f>
      </x:c>
      <x:c r="I68" s="88" t="str">
        <x:f>IF(C68="","",MAX(0,ROUND(D68+E68-F68-G68-H68,2)))</x:f>
      </x:c>
      <x:c r="J68" s="88" t="str">
        <x:f>IF(C68="","",F68+G68+H68)</x:f>
      </x:c>
      <x:c r="K68" s="88" t="str">
        <x:f>IF(C68="","",MAX(0,SUMIFS(SONDERZAHLUNGEN!$E$9:$E$128,SONDERZAHLUNGEN!$B$9:$B$128,C68,SONDERZAHLUNGEN!$C$9:$C$128,A68,SONDERZAHLUNGEN!$H$9:$H$128,"OK",SONDERZAHLUNGEN!$F$9:$F$128,"Ja")-G68))</x:f>
      </x:c>
    </x:row>
    <x:row r="69" ht="19" customHeight="1">
      <x:c r="A69" s="90" t="n">
        <x:f>MONATSBUDGET!$A$10</x:f>
        <x:v>46296</x:v>
      </x:c>
      <x:c r="B69" t="n">
        <x:f>10</x:f>
        <x:v>10</x:v>
      </x:c>
      <x:c r="C69" t="str">
        <x:f>IF($N$18="","",$N$18)</x:f>
      </x:c>
      <x:c r="D69" s="88" t="str">
        <x:f>IF(C69="","",I49)</x:f>
      </x:c>
      <x:c r="E69" s="88" t="str">
        <x:f>IF(C69="","",ROUND(D69*$P$18/12,2))</x:f>
      </x:c>
      <x:c r="F69" s="88" t="str">
        <x:f>IF(C69="","",MIN(D69+E69,$Q$18))</x:f>
      </x:c>
      <x:c r="G69" s="88" t="str">
        <x:f>IF(C69="","",MIN(MAX(0,D69+E69-F69),SUMIFS(SONDERZAHLUNGEN!$E$9:$E$128,SONDERZAHLUNGEN!$B$9:$B$128,C69,SONDERZAHLUNGEN!$C$9:$C$128,A69,SONDERZAHLUNGEN!$H$9:$H$128,"OK",SONDERZAHLUNGEN!$F$9:$F$128,"Ja")))</x:f>
      </x:c>
      <x:c r="H69" s="88" t="str">
        <x:f>IF(C69="","",MIN(MAX(0,D69+E69-F69-G69),MAX(0,IF(MONATSBUDGET!$C$10="",0,MONATSBUDGET!$C$10)-SUM(F60:F79)-SUM(H60:H68))))</x:f>
      </x:c>
      <x:c r="I69" s="88" t="str">
        <x:f>IF(C69="","",MAX(0,ROUND(D69+E69-F69-G69-H69,2)))</x:f>
      </x:c>
      <x:c r="J69" s="88" t="str">
        <x:f>IF(C69="","",F69+G69+H69)</x:f>
      </x:c>
      <x:c r="K69" s="88" t="str">
        <x:f>IF(C69="","",MAX(0,SUMIFS(SONDERZAHLUNGEN!$E$9:$E$128,SONDERZAHLUNGEN!$B$9:$B$128,C69,SONDERZAHLUNGEN!$C$9:$C$128,A69,SONDERZAHLUNGEN!$H$9:$H$128,"OK",SONDERZAHLUNGEN!$F$9:$F$128,"Ja")-G69))</x:f>
      </x:c>
    </x:row>
    <x:row r="70" ht="19" customHeight="1">
      <x:c r="A70" s="90" t="n">
        <x:f>MONATSBUDGET!$A$10</x:f>
        <x:v>46296</x:v>
      </x:c>
      <x:c r="B70" t="n">
        <x:f>11</x:f>
        <x:v>11</x:v>
      </x:c>
      <x:c r="C70" t="str">
        <x:f>IF($N$19="","",$N$19)</x:f>
      </x:c>
      <x:c r="D70" s="88" t="str">
        <x:f>IF(C70="","",I50)</x:f>
      </x:c>
      <x:c r="E70" s="88" t="str">
        <x:f>IF(C70="","",ROUND(D70*$P$19/12,2))</x:f>
      </x:c>
      <x:c r="F70" s="88" t="str">
        <x:f>IF(C70="","",MIN(D70+E70,$Q$19))</x:f>
      </x:c>
      <x:c r="G70" s="88" t="str">
        <x:f>IF(C70="","",MIN(MAX(0,D70+E70-F70),SUMIFS(SONDERZAHLUNGEN!$E$9:$E$128,SONDERZAHLUNGEN!$B$9:$B$128,C70,SONDERZAHLUNGEN!$C$9:$C$128,A70,SONDERZAHLUNGEN!$H$9:$H$128,"OK",SONDERZAHLUNGEN!$F$9:$F$128,"Ja")))</x:f>
      </x:c>
      <x:c r="H70" s="88" t="str">
        <x:f>IF(C70="","",MIN(MAX(0,D70+E70-F70-G70),MAX(0,IF(MONATSBUDGET!$C$10="",0,MONATSBUDGET!$C$10)-SUM(F60:F79)-SUM(H60:H69))))</x:f>
      </x:c>
      <x:c r="I70" s="88" t="str">
        <x:f>IF(C70="","",MAX(0,ROUND(D70+E70-F70-G70-H70,2)))</x:f>
      </x:c>
      <x:c r="J70" s="88" t="str">
        <x:f>IF(C70="","",F70+G70+H70)</x:f>
      </x:c>
      <x:c r="K70" s="88" t="str">
        <x:f>IF(C70="","",MAX(0,SUMIFS(SONDERZAHLUNGEN!$E$9:$E$128,SONDERZAHLUNGEN!$B$9:$B$128,C70,SONDERZAHLUNGEN!$C$9:$C$128,A70,SONDERZAHLUNGEN!$H$9:$H$128,"OK",SONDERZAHLUNGEN!$F$9:$F$128,"Ja")-G70))</x:f>
      </x:c>
    </x:row>
    <x:row r="71" ht="19" customHeight="1">
      <x:c r="A71" s="90" t="n">
        <x:f>MONATSBUDGET!$A$10</x:f>
        <x:v>46296</x:v>
      </x:c>
      <x:c r="B71" t="n">
        <x:f>12</x:f>
        <x:v>12</x:v>
      </x:c>
      <x:c r="C71" t="str">
        <x:f>IF($N$20="","",$N$20)</x:f>
      </x:c>
      <x:c r="D71" s="88" t="str">
        <x:f>IF(C71="","",I51)</x:f>
      </x:c>
      <x:c r="E71" s="88" t="str">
        <x:f>IF(C71="","",ROUND(D71*$P$20/12,2))</x:f>
      </x:c>
      <x:c r="F71" s="88" t="str">
        <x:f>IF(C71="","",MIN(D71+E71,$Q$20))</x:f>
      </x:c>
      <x:c r="G71" s="88" t="str">
        <x:f>IF(C71="","",MIN(MAX(0,D71+E71-F71),SUMIFS(SONDERZAHLUNGEN!$E$9:$E$128,SONDERZAHLUNGEN!$B$9:$B$128,C71,SONDERZAHLUNGEN!$C$9:$C$128,A71,SONDERZAHLUNGEN!$H$9:$H$128,"OK",SONDERZAHLUNGEN!$F$9:$F$128,"Ja")))</x:f>
      </x:c>
      <x:c r="H71" s="88" t="str">
        <x:f>IF(C71="","",MIN(MAX(0,D71+E71-F71-G71),MAX(0,IF(MONATSBUDGET!$C$10="",0,MONATSBUDGET!$C$10)-SUM(F60:F79)-SUM(H60:H70))))</x:f>
      </x:c>
      <x:c r="I71" s="88" t="str">
        <x:f>IF(C71="","",MAX(0,ROUND(D71+E71-F71-G71-H71,2)))</x:f>
      </x:c>
      <x:c r="J71" s="88" t="str">
        <x:f>IF(C71="","",F71+G71+H71)</x:f>
      </x:c>
      <x:c r="K71" s="88" t="str">
        <x:f>IF(C71="","",MAX(0,SUMIFS(SONDERZAHLUNGEN!$E$9:$E$128,SONDERZAHLUNGEN!$B$9:$B$128,C71,SONDERZAHLUNGEN!$C$9:$C$128,A71,SONDERZAHLUNGEN!$H$9:$H$128,"OK",SONDERZAHLUNGEN!$F$9:$F$128,"Ja")-G71))</x:f>
      </x:c>
    </x:row>
    <x:row r="72" ht="19" customHeight="1">
      <x:c r="A72" s="90" t="n">
        <x:f>MONATSBUDGET!$A$10</x:f>
        <x:v>46296</x:v>
      </x:c>
      <x:c r="B72" t="n">
        <x:f>13</x:f>
        <x:v>13</x:v>
      </x:c>
      <x:c r="C72" t="str">
        <x:f>IF($N$21="","",$N$21)</x:f>
      </x:c>
      <x:c r="D72" s="88" t="str">
        <x:f>IF(C72="","",I52)</x:f>
      </x:c>
      <x:c r="E72" s="88" t="str">
        <x:f>IF(C72="","",ROUND(D72*$P$21/12,2))</x:f>
      </x:c>
      <x:c r="F72" s="88" t="str">
        <x:f>IF(C72="","",MIN(D72+E72,$Q$21))</x:f>
      </x:c>
      <x:c r="G72" s="88" t="str">
        <x:f>IF(C72="","",MIN(MAX(0,D72+E72-F72),SUMIFS(SONDERZAHLUNGEN!$E$9:$E$128,SONDERZAHLUNGEN!$B$9:$B$128,C72,SONDERZAHLUNGEN!$C$9:$C$128,A72,SONDERZAHLUNGEN!$H$9:$H$128,"OK",SONDERZAHLUNGEN!$F$9:$F$128,"Ja")))</x:f>
      </x:c>
      <x:c r="H72" s="88" t="str">
        <x:f>IF(C72="","",MIN(MAX(0,D72+E72-F72-G72),MAX(0,IF(MONATSBUDGET!$C$10="",0,MONATSBUDGET!$C$10)-SUM(F60:F79)-SUM(H60:H71))))</x:f>
      </x:c>
      <x:c r="I72" s="88" t="str">
        <x:f>IF(C72="","",MAX(0,ROUND(D72+E72-F72-G72-H72,2)))</x:f>
      </x:c>
      <x:c r="J72" s="88" t="str">
        <x:f>IF(C72="","",F72+G72+H72)</x:f>
      </x:c>
      <x:c r="K72" s="88" t="str">
        <x:f>IF(C72="","",MAX(0,SUMIFS(SONDERZAHLUNGEN!$E$9:$E$128,SONDERZAHLUNGEN!$B$9:$B$128,C72,SONDERZAHLUNGEN!$C$9:$C$128,A72,SONDERZAHLUNGEN!$H$9:$H$128,"OK",SONDERZAHLUNGEN!$F$9:$F$128,"Ja")-G72))</x:f>
      </x:c>
    </x:row>
    <x:row r="73" ht="19" customHeight="1">
      <x:c r="A73" s="90" t="n">
        <x:f>MONATSBUDGET!$A$10</x:f>
        <x:v>46296</x:v>
      </x:c>
      <x:c r="B73" t="n">
        <x:f>14</x:f>
        <x:v>14</x:v>
      </x:c>
      <x:c r="C73" t="str">
        <x:f>IF($N$22="","",$N$22)</x:f>
      </x:c>
      <x:c r="D73" s="88" t="str">
        <x:f>IF(C73="","",I53)</x:f>
      </x:c>
      <x:c r="E73" s="88" t="str">
        <x:f>IF(C73="","",ROUND(D73*$P$22/12,2))</x:f>
      </x:c>
      <x:c r="F73" s="88" t="str">
        <x:f>IF(C73="","",MIN(D73+E73,$Q$22))</x:f>
      </x:c>
      <x:c r="G73" s="88" t="str">
        <x:f>IF(C73="","",MIN(MAX(0,D73+E73-F73),SUMIFS(SONDERZAHLUNGEN!$E$9:$E$128,SONDERZAHLUNGEN!$B$9:$B$128,C73,SONDERZAHLUNGEN!$C$9:$C$128,A73,SONDERZAHLUNGEN!$H$9:$H$128,"OK",SONDERZAHLUNGEN!$F$9:$F$128,"Ja")))</x:f>
      </x:c>
      <x:c r="H73" s="88" t="str">
        <x:f>IF(C73="","",MIN(MAX(0,D73+E73-F73-G73),MAX(0,IF(MONATSBUDGET!$C$10="",0,MONATSBUDGET!$C$10)-SUM(F60:F79)-SUM(H60:H72))))</x:f>
      </x:c>
      <x:c r="I73" s="88" t="str">
        <x:f>IF(C73="","",MAX(0,ROUND(D73+E73-F73-G73-H73,2)))</x:f>
      </x:c>
      <x:c r="J73" s="88" t="str">
        <x:f>IF(C73="","",F73+G73+H73)</x:f>
      </x:c>
      <x:c r="K73" s="88" t="str">
        <x:f>IF(C73="","",MAX(0,SUMIFS(SONDERZAHLUNGEN!$E$9:$E$128,SONDERZAHLUNGEN!$B$9:$B$128,C73,SONDERZAHLUNGEN!$C$9:$C$128,A73,SONDERZAHLUNGEN!$H$9:$H$128,"OK",SONDERZAHLUNGEN!$F$9:$F$128,"Ja")-G73))</x:f>
      </x:c>
    </x:row>
    <x:row r="74" ht="19" customHeight="1">
      <x:c r="A74" s="90" t="n">
        <x:f>MONATSBUDGET!$A$10</x:f>
        <x:v>46296</x:v>
      </x:c>
      <x:c r="B74" t="n">
        <x:f>15</x:f>
        <x:v>15</x:v>
      </x:c>
      <x:c r="C74" t="str">
        <x:f>IF($N$23="","",$N$23)</x:f>
      </x:c>
      <x:c r="D74" s="88" t="str">
        <x:f>IF(C74="","",I54)</x:f>
      </x:c>
      <x:c r="E74" s="88" t="str">
        <x:f>IF(C74="","",ROUND(D74*$P$23/12,2))</x:f>
      </x:c>
      <x:c r="F74" s="88" t="str">
        <x:f>IF(C74="","",MIN(D74+E74,$Q$23))</x:f>
      </x:c>
      <x:c r="G74" s="88" t="str">
        <x:f>IF(C74="","",MIN(MAX(0,D74+E74-F74),SUMIFS(SONDERZAHLUNGEN!$E$9:$E$128,SONDERZAHLUNGEN!$B$9:$B$128,C74,SONDERZAHLUNGEN!$C$9:$C$128,A74,SONDERZAHLUNGEN!$H$9:$H$128,"OK",SONDERZAHLUNGEN!$F$9:$F$128,"Ja")))</x:f>
      </x:c>
      <x:c r="H74" s="88" t="str">
        <x:f>IF(C74="","",MIN(MAX(0,D74+E74-F74-G74),MAX(0,IF(MONATSBUDGET!$C$10="",0,MONATSBUDGET!$C$10)-SUM(F60:F79)-SUM(H60:H73))))</x:f>
      </x:c>
      <x:c r="I74" s="88" t="str">
        <x:f>IF(C74="","",MAX(0,ROUND(D74+E74-F74-G74-H74,2)))</x:f>
      </x:c>
      <x:c r="J74" s="88" t="str">
        <x:f>IF(C74="","",F74+G74+H74)</x:f>
      </x:c>
      <x:c r="K74" s="88" t="str">
        <x:f>IF(C74="","",MAX(0,SUMIFS(SONDERZAHLUNGEN!$E$9:$E$128,SONDERZAHLUNGEN!$B$9:$B$128,C74,SONDERZAHLUNGEN!$C$9:$C$128,A74,SONDERZAHLUNGEN!$H$9:$H$128,"OK",SONDERZAHLUNGEN!$F$9:$F$128,"Ja")-G74))</x:f>
      </x:c>
    </x:row>
    <x:row r="75" ht="19" customHeight="1">
      <x:c r="A75" s="90" t="n">
        <x:f>MONATSBUDGET!$A$10</x:f>
        <x:v>46296</x:v>
      </x:c>
      <x:c r="B75" t="n">
        <x:f>16</x:f>
        <x:v>16</x:v>
      </x:c>
      <x:c r="C75" t="str">
        <x:f>IF($N$24="","",$N$24)</x:f>
      </x:c>
      <x:c r="D75" s="88" t="str">
        <x:f>IF(C75="","",I55)</x:f>
      </x:c>
      <x:c r="E75" s="88" t="str">
        <x:f>IF(C75="","",ROUND(D75*$P$24/12,2))</x:f>
      </x:c>
      <x:c r="F75" s="88" t="str">
        <x:f>IF(C75="","",MIN(D75+E75,$Q$24))</x:f>
      </x:c>
      <x:c r="G75" s="88" t="str">
        <x:f>IF(C75="","",MIN(MAX(0,D75+E75-F75),SUMIFS(SONDERZAHLUNGEN!$E$9:$E$128,SONDERZAHLUNGEN!$B$9:$B$128,C75,SONDERZAHLUNGEN!$C$9:$C$128,A75,SONDERZAHLUNGEN!$H$9:$H$128,"OK",SONDERZAHLUNGEN!$F$9:$F$128,"Ja")))</x:f>
      </x:c>
      <x:c r="H75" s="88" t="str">
        <x:f>IF(C75="","",MIN(MAX(0,D75+E75-F75-G75),MAX(0,IF(MONATSBUDGET!$C$10="",0,MONATSBUDGET!$C$10)-SUM(F60:F79)-SUM(H60:H74))))</x:f>
      </x:c>
      <x:c r="I75" s="88" t="str">
        <x:f>IF(C75="","",MAX(0,ROUND(D75+E75-F75-G75-H75,2)))</x:f>
      </x:c>
      <x:c r="J75" s="88" t="str">
        <x:f>IF(C75="","",F75+G75+H75)</x:f>
      </x:c>
      <x:c r="K75" s="88" t="str">
        <x:f>IF(C75="","",MAX(0,SUMIFS(SONDERZAHLUNGEN!$E$9:$E$128,SONDERZAHLUNGEN!$B$9:$B$128,C75,SONDERZAHLUNGEN!$C$9:$C$128,A75,SONDERZAHLUNGEN!$H$9:$H$128,"OK",SONDERZAHLUNGEN!$F$9:$F$128,"Ja")-G75))</x:f>
      </x:c>
    </x:row>
    <x:row r="76" ht="19" customHeight="1">
      <x:c r="A76" s="90" t="n">
        <x:f>MONATSBUDGET!$A$10</x:f>
        <x:v>46296</x:v>
      </x:c>
      <x:c r="B76" t="n">
        <x:f>17</x:f>
        <x:v>17</x:v>
      </x:c>
      <x:c r="C76" t="str">
        <x:f>IF($N$25="","",$N$25)</x:f>
      </x:c>
      <x:c r="D76" s="88" t="str">
        <x:f>IF(C76="","",I56)</x:f>
      </x:c>
      <x:c r="E76" s="88" t="str">
        <x:f>IF(C76="","",ROUND(D76*$P$25/12,2))</x:f>
      </x:c>
      <x:c r="F76" s="88" t="str">
        <x:f>IF(C76="","",MIN(D76+E76,$Q$25))</x:f>
      </x:c>
      <x:c r="G76" s="88" t="str">
        <x:f>IF(C76="","",MIN(MAX(0,D76+E76-F76),SUMIFS(SONDERZAHLUNGEN!$E$9:$E$128,SONDERZAHLUNGEN!$B$9:$B$128,C76,SONDERZAHLUNGEN!$C$9:$C$128,A76,SONDERZAHLUNGEN!$H$9:$H$128,"OK",SONDERZAHLUNGEN!$F$9:$F$128,"Ja")))</x:f>
      </x:c>
      <x:c r="H76" s="88" t="str">
        <x:f>IF(C76="","",MIN(MAX(0,D76+E76-F76-G76),MAX(0,IF(MONATSBUDGET!$C$10="",0,MONATSBUDGET!$C$10)-SUM(F60:F79)-SUM(H60:H75))))</x:f>
      </x:c>
      <x:c r="I76" s="88" t="str">
        <x:f>IF(C76="","",MAX(0,ROUND(D76+E76-F76-G76-H76,2)))</x:f>
      </x:c>
      <x:c r="J76" s="88" t="str">
        <x:f>IF(C76="","",F76+G76+H76)</x:f>
      </x:c>
      <x:c r="K76" s="88" t="str">
        <x:f>IF(C76="","",MAX(0,SUMIFS(SONDERZAHLUNGEN!$E$9:$E$128,SONDERZAHLUNGEN!$B$9:$B$128,C76,SONDERZAHLUNGEN!$C$9:$C$128,A76,SONDERZAHLUNGEN!$H$9:$H$128,"OK",SONDERZAHLUNGEN!$F$9:$F$128,"Ja")-G76))</x:f>
      </x:c>
    </x:row>
    <x:row r="77" ht="19" customHeight="1">
      <x:c r="A77" s="90" t="n">
        <x:f>MONATSBUDGET!$A$10</x:f>
        <x:v>46296</x:v>
      </x:c>
      <x:c r="B77" t="n">
        <x:f>18</x:f>
        <x:v>18</x:v>
      </x:c>
      <x:c r="C77" t="str">
        <x:f>IF($N$26="","",$N$26)</x:f>
      </x:c>
      <x:c r="D77" s="88" t="str">
        <x:f>IF(C77="","",I57)</x:f>
      </x:c>
      <x:c r="E77" s="88" t="str">
        <x:f>IF(C77="","",ROUND(D77*$P$26/12,2))</x:f>
      </x:c>
      <x:c r="F77" s="88" t="str">
        <x:f>IF(C77="","",MIN(D77+E77,$Q$26))</x:f>
      </x:c>
      <x:c r="G77" s="88" t="str">
        <x:f>IF(C77="","",MIN(MAX(0,D77+E77-F77),SUMIFS(SONDERZAHLUNGEN!$E$9:$E$128,SONDERZAHLUNGEN!$B$9:$B$128,C77,SONDERZAHLUNGEN!$C$9:$C$128,A77,SONDERZAHLUNGEN!$H$9:$H$128,"OK",SONDERZAHLUNGEN!$F$9:$F$128,"Ja")))</x:f>
      </x:c>
      <x:c r="H77" s="88" t="str">
        <x:f>IF(C77="","",MIN(MAX(0,D77+E77-F77-G77),MAX(0,IF(MONATSBUDGET!$C$10="",0,MONATSBUDGET!$C$10)-SUM(F60:F79)-SUM(H60:H76))))</x:f>
      </x:c>
      <x:c r="I77" s="88" t="str">
        <x:f>IF(C77="","",MAX(0,ROUND(D77+E77-F77-G77-H77,2)))</x:f>
      </x:c>
      <x:c r="J77" s="88" t="str">
        <x:f>IF(C77="","",F77+G77+H77)</x:f>
      </x:c>
      <x:c r="K77" s="88" t="str">
        <x:f>IF(C77="","",MAX(0,SUMIFS(SONDERZAHLUNGEN!$E$9:$E$128,SONDERZAHLUNGEN!$B$9:$B$128,C77,SONDERZAHLUNGEN!$C$9:$C$128,A77,SONDERZAHLUNGEN!$H$9:$H$128,"OK",SONDERZAHLUNGEN!$F$9:$F$128,"Ja")-G77))</x:f>
      </x:c>
    </x:row>
    <x:row r="78" ht="19" customHeight="1">
      <x:c r="A78" s="90" t="n">
        <x:f>MONATSBUDGET!$A$10</x:f>
        <x:v>46296</x:v>
      </x:c>
      <x:c r="B78" t="n">
        <x:f>19</x:f>
        <x:v>19</x:v>
      </x:c>
      <x:c r="C78" t="str">
        <x:f>IF($N$27="","",$N$27)</x:f>
      </x:c>
      <x:c r="D78" s="88" t="str">
        <x:f>IF(C78="","",I58)</x:f>
      </x:c>
      <x:c r="E78" s="88" t="str">
        <x:f>IF(C78="","",ROUND(D78*$P$27/12,2))</x:f>
      </x:c>
      <x:c r="F78" s="88" t="str">
        <x:f>IF(C78="","",MIN(D78+E78,$Q$27))</x:f>
      </x:c>
      <x:c r="G78" s="88" t="str">
        <x:f>IF(C78="","",MIN(MAX(0,D78+E78-F78),SUMIFS(SONDERZAHLUNGEN!$E$9:$E$128,SONDERZAHLUNGEN!$B$9:$B$128,C78,SONDERZAHLUNGEN!$C$9:$C$128,A78,SONDERZAHLUNGEN!$H$9:$H$128,"OK",SONDERZAHLUNGEN!$F$9:$F$128,"Ja")))</x:f>
      </x:c>
      <x:c r="H78" s="88" t="str">
        <x:f>IF(C78="","",MIN(MAX(0,D78+E78-F78-G78),MAX(0,IF(MONATSBUDGET!$C$10="",0,MONATSBUDGET!$C$10)-SUM(F60:F79)-SUM(H60:H77))))</x:f>
      </x:c>
      <x:c r="I78" s="88" t="str">
        <x:f>IF(C78="","",MAX(0,ROUND(D78+E78-F78-G78-H78,2)))</x:f>
      </x:c>
      <x:c r="J78" s="88" t="str">
        <x:f>IF(C78="","",F78+G78+H78)</x:f>
      </x:c>
      <x:c r="K78" s="88" t="str">
        <x:f>IF(C78="","",MAX(0,SUMIFS(SONDERZAHLUNGEN!$E$9:$E$128,SONDERZAHLUNGEN!$B$9:$B$128,C78,SONDERZAHLUNGEN!$C$9:$C$128,A78,SONDERZAHLUNGEN!$H$9:$H$128,"OK",SONDERZAHLUNGEN!$F$9:$F$128,"Ja")-G78))</x:f>
      </x:c>
    </x:row>
    <x:row r="79" ht="19" customHeight="1">
      <x:c r="A79" s="90" t="n">
        <x:f>MONATSBUDGET!$A$10</x:f>
        <x:v>46296</x:v>
      </x:c>
      <x:c r="B79" t="n">
        <x:f>20</x:f>
        <x:v>20</x:v>
      </x:c>
      <x:c r="C79" t="str">
        <x:f>IF($N$28="","",$N$28)</x:f>
      </x:c>
      <x:c r="D79" s="88" t="str">
        <x:f>IF(C79="","",I59)</x:f>
      </x:c>
      <x:c r="E79" s="88" t="str">
        <x:f>IF(C79="","",ROUND(D79*$P$28/12,2))</x:f>
      </x:c>
      <x:c r="F79" s="88" t="str">
        <x:f>IF(C79="","",MIN(D79+E79,$Q$28))</x:f>
      </x:c>
      <x:c r="G79" s="88" t="str">
        <x:f>IF(C79="","",MIN(MAX(0,D79+E79-F79),SUMIFS(SONDERZAHLUNGEN!$E$9:$E$128,SONDERZAHLUNGEN!$B$9:$B$128,C79,SONDERZAHLUNGEN!$C$9:$C$128,A79,SONDERZAHLUNGEN!$H$9:$H$128,"OK",SONDERZAHLUNGEN!$F$9:$F$128,"Ja")))</x:f>
      </x:c>
      <x:c r="H79" s="88" t="str">
        <x:f>IF(C79="","",MIN(MAX(0,D79+E79-F79-G79),MAX(0,IF(MONATSBUDGET!$C$10="",0,MONATSBUDGET!$C$10)-SUM(F60:F79)-SUM(H60:H78))))</x:f>
      </x:c>
      <x:c r="I79" s="88" t="str">
        <x:f>IF(C79="","",MAX(0,ROUND(D79+E79-F79-G79-H79,2)))</x:f>
      </x:c>
      <x:c r="J79" s="88" t="str">
        <x:f>IF(C79="","",F79+G79+H79)</x:f>
      </x:c>
      <x:c r="K79" s="88" t="str">
        <x:f>IF(C79="","",MAX(0,SUMIFS(SONDERZAHLUNGEN!$E$9:$E$128,SONDERZAHLUNGEN!$B$9:$B$128,C79,SONDERZAHLUNGEN!$C$9:$C$128,A79,SONDERZAHLUNGEN!$H$9:$H$128,"OK",SONDERZAHLUNGEN!$F$9:$F$128,"Ja")-G79))</x:f>
      </x:c>
    </x:row>
    <x:row r="80" ht="19" customHeight="1">
      <x:c r="A80" s="90" t="n">
        <x:f>MONATSBUDGET!$A$11</x:f>
        <x:v>46327</x:v>
      </x:c>
      <x:c r="B80" t="n">
        <x:f>1</x:f>
        <x:v>1</x:v>
      </x:c>
      <x:c r="C80" t="str">
        <x:f>IF($N$9="","",$N$9)</x:f>
      </x:c>
      <x:c r="D80" s="88" t="str">
        <x:f>IF(C80="","",I60)</x:f>
      </x:c>
      <x:c r="E80" s="88" t="str">
        <x:f>IF(C80="","",ROUND(D80*$P$9/12,2))</x:f>
      </x:c>
      <x:c r="F80" s="88" t="str">
        <x:f>IF(C80="","",MIN(D80+E80,$Q$9))</x:f>
      </x:c>
      <x:c r="G80" s="88" t="str">
        <x:f>IF(C80="","",MIN(MAX(0,D80+E80-F80),SUMIFS(SONDERZAHLUNGEN!$E$9:$E$128,SONDERZAHLUNGEN!$B$9:$B$128,C80,SONDERZAHLUNGEN!$C$9:$C$128,A80,SONDERZAHLUNGEN!$H$9:$H$128,"OK",SONDERZAHLUNGEN!$F$9:$F$128,"Ja")))</x:f>
      </x:c>
      <x:c r="H80" s="88" t="str">
        <x:f>IF(C80="","",MIN(MAX(0,D80+E80-F80-G80),MAX(0,IF(MONATSBUDGET!$C$11="",0,MONATSBUDGET!$C$11)-SUM(F80:F99)-0)))</x:f>
      </x:c>
      <x:c r="I80" s="88" t="str">
        <x:f>IF(C80="","",MAX(0,ROUND(D80+E80-F80-G80-H80,2)))</x:f>
      </x:c>
      <x:c r="J80" s="88" t="str">
        <x:f>IF(C80="","",F80+G80+H80)</x:f>
      </x:c>
      <x:c r="K80" s="88" t="str">
        <x:f>IF(C80="","",MAX(0,SUMIFS(SONDERZAHLUNGEN!$E$9:$E$128,SONDERZAHLUNGEN!$B$9:$B$128,C80,SONDERZAHLUNGEN!$C$9:$C$128,A80,SONDERZAHLUNGEN!$H$9:$H$128,"OK",SONDERZAHLUNGEN!$F$9:$F$128,"Ja")-G80))</x:f>
      </x:c>
    </x:row>
    <x:row r="81" ht="19" customHeight="1">
      <x:c r="A81" s="90" t="n">
        <x:f>MONATSBUDGET!$A$11</x:f>
        <x:v>46327</x:v>
      </x:c>
      <x:c r="B81" t="n">
        <x:f>2</x:f>
        <x:v>2</x:v>
      </x:c>
      <x:c r="C81" t="str">
        <x:f>IF($N$10="","",$N$10)</x:f>
      </x:c>
      <x:c r="D81" s="88" t="str">
        <x:f>IF(C81="","",I61)</x:f>
      </x:c>
      <x:c r="E81" s="88" t="str">
        <x:f>IF(C81="","",ROUND(D81*$P$10/12,2))</x:f>
      </x:c>
      <x:c r="F81" s="88" t="str">
        <x:f>IF(C81="","",MIN(D81+E81,$Q$10))</x:f>
      </x:c>
      <x:c r="G81" s="88" t="str">
        <x:f>IF(C81="","",MIN(MAX(0,D81+E81-F81),SUMIFS(SONDERZAHLUNGEN!$E$9:$E$128,SONDERZAHLUNGEN!$B$9:$B$128,C81,SONDERZAHLUNGEN!$C$9:$C$128,A81,SONDERZAHLUNGEN!$H$9:$H$128,"OK",SONDERZAHLUNGEN!$F$9:$F$128,"Ja")))</x:f>
      </x:c>
      <x:c r="H81" s="88" t="str">
        <x:f>IF(C81="","",MIN(MAX(0,D81+E81-F81-G81),MAX(0,IF(MONATSBUDGET!$C$11="",0,MONATSBUDGET!$C$11)-SUM(F80:F99)-SUM(H80:H80))))</x:f>
      </x:c>
      <x:c r="I81" s="88" t="str">
        <x:f>IF(C81="","",MAX(0,ROUND(D81+E81-F81-G81-H81,2)))</x:f>
      </x:c>
      <x:c r="J81" s="88" t="str">
        <x:f>IF(C81="","",F81+G81+H81)</x:f>
      </x:c>
      <x:c r="K81" s="88" t="str">
        <x:f>IF(C81="","",MAX(0,SUMIFS(SONDERZAHLUNGEN!$E$9:$E$128,SONDERZAHLUNGEN!$B$9:$B$128,C81,SONDERZAHLUNGEN!$C$9:$C$128,A81,SONDERZAHLUNGEN!$H$9:$H$128,"OK",SONDERZAHLUNGEN!$F$9:$F$128,"Ja")-G81))</x:f>
      </x:c>
    </x:row>
    <x:row r="82" ht="19" customHeight="1">
      <x:c r="A82" s="90" t="n">
        <x:f>MONATSBUDGET!$A$11</x:f>
        <x:v>46327</x:v>
      </x:c>
      <x:c r="B82" t="n">
        <x:f>3</x:f>
        <x:v>3</x:v>
      </x:c>
      <x:c r="C82" t="str">
        <x:f>IF($N$11="","",$N$11)</x:f>
      </x:c>
      <x:c r="D82" s="88" t="str">
        <x:f>IF(C82="","",I62)</x:f>
      </x:c>
      <x:c r="E82" s="88" t="str">
        <x:f>IF(C82="","",ROUND(D82*$P$11/12,2))</x:f>
      </x:c>
      <x:c r="F82" s="88" t="str">
        <x:f>IF(C82="","",MIN(D82+E82,$Q$11))</x:f>
      </x:c>
      <x:c r="G82" s="88" t="str">
        <x:f>IF(C82="","",MIN(MAX(0,D82+E82-F82),SUMIFS(SONDERZAHLUNGEN!$E$9:$E$128,SONDERZAHLUNGEN!$B$9:$B$128,C82,SONDERZAHLUNGEN!$C$9:$C$128,A82,SONDERZAHLUNGEN!$H$9:$H$128,"OK",SONDERZAHLUNGEN!$F$9:$F$128,"Ja")))</x:f>
      </x:c>
      <x:c r="H82" s="88" t="str">
        <x:f>IF(C82="","",MIN(MAX(0,D82+E82-F82-G82),MAX(0,IF(MONATSBUDGET!$C$11="",0,MONATSBUDGET!$C$11)-SUM(F80:F99)-SUM(H80:H81))))</x:f>
      </x:c>
      <x:c r="I82" s="88" t="str">
        <x:f>IF(C82="","",MAX(0,ROUND(D82+E82-F82-G82-H82,2)))</x:f>
      </x:c>
      <x:c r="J82" s="88" t="str">
        <x:f>IF(C82="","",F82+G82+H82)</x:f>
      </x:c>
      <x:c r="K82" s="88" t="str">
        <x:f>IF(C82="","",MAX(0,SUMIFS(SONDERZAHLUNGEN!$E$9:$E$128,SONDERZAHLUNGEN!$B$9:$B$128,C82,SONDERZAHLUNGEN!$C$9:$C$128,A82,SONDERZAHLUNGEN!$H$9:$H$128,"OK",SONDERZAHLUNGEN!$F$9:$F$128,"Ja")-G82))</x:f>
      </x:c>
    </x:row>
    <x:row r="83" ht="19" customHeight="1">
      <x:c r="A83" s="90" t="n">
        <x:f>MONATSBUDGET!$A$11</x:f>
        <x:v>46327</x:v>
      </x:c>
      <x:c r="B83" t="n">
        <x:f>4</x:f>
        <x:v>4</x:v>
      </x:c>
      <x:c r="C83" t="str">
        <x:f>IF($N$12="","",$N$12)</x:f>
      </x:c>
      <x:c r="D83" s="88" t="str">
        <x:f>IF(C83="","",I63)</x:f>
      </x:c>
      <x:c r="E83" s="88" t="str">
        <x:f>IF(C83="","",ROUND(D83*$P$12/12,2))</x:f>
      </x:c>
      <x:c r="F83" s="88" t="str">
        <x:f>IF(C83="","",MIN(D83+E83,$Q$12))</x:f>
      </x:c>
      <x:c r="G83" s="88" t="str">
        <x:f>IF(C83="","",MIN(MAX(0,D83+E83-F83),SUMIFS(SONDERZAHLUNGEN!$E$9:$E$128,SONDERZAHLUNGEN!$B$9:$B$128,C83,SONDERZAHLUNGEN!$C$9:$C$128,A83,SONDERZAHLUNGEN!$H$9:$H$128,"OK",SONDERZAHLUNGEN!$F$9:$F$128,"Ja")))</x:f>
      </x:c>
      <x:c r="H83" s="88" t="str">
        <x:f>IF(C83="","",MIN(MAX(0,D83+E83-F83-G83),MAX(0,IF(MONATSBUDGET!$C$11="",0,MONATSBUDGET!$C$11)-SUM(F80:F99)-SUM(H80:H82))))</x:f>
      </x:c>
      <x:c r="I83" s="88" t="str">
        <x:f>IF(C83="","",MAX(0,ROUND(D83+E83-F83-G83-H83,2)))</x:f>
      </x:c>
      <x:c r="J83" s="88" t="str">
        <x:f>IF(C83="","",F83+G83+H83)</x:f>
      </x:c>
      <x:c r="K83" s="88" t="str">
        <x:f>IF(C83="","",MAX(0,SUMIFS(SONDERZAHLUNGEN!$E$9:$E$128,SONDERZAHLUNGEN!$B$9:$B$128,C83,SONDERZAHLUNGEN!$C$9:$C$128,A83,SONDERZAHLUNGEN!$H$9:$H$128,"OK",SONDERZAHLUNGEN!$F$9:$F$128,"Ja")-G83))</x:f>
      </x:c>
    </x:row>
    <x:row r="84" ht="19" customHeight="1">
      <x:c r="A84" s="90" t="n">
        <x:f>MONATSBUDGET!$A$11</x:f>
        <x:v>46327</x:v>
      </x:c>
      <x:c r="B84" t="n">
        <x:f>5</x:f>
        <x:v>5</x:v>
      </x:c>
      <x:c r="C84" t="str">
        <x:f>IF($N$13="","",$N$13)</x:f>
      </x:c>
      <x:c r="D84" s="88" t="str">
        <x:f>IF(C84="","",I64)</x:f>
      </x:c>
      <x:c r="E84" s="88" t="str">
        <x:f>IF(C84="","",ROUND(D84*$P$13/12,2))</x:f>
      </x:c>
      <x:c r="F84" s="88" t="str">
        <x:f>IF(C84="","",MIN(D84+E84,$Q$13))</x:f>
      </x:c>
      <x:c r="G84" s="88" t="str">
        <x:f>IF(C84="","",MIN(MAX(0,D84+E84-F84),SUMIFS(SONDERZAHLUNGEN!$E$9:$E$128,SONDERZAHLUNGEN!$B$9:$B$128,C84,SONDERZAHLUNGEN!$C$9:$C$128,A84,SONDERZAHLUNGEN!$H$9:$H$128,"OK",SONDERZAHLUNGEN!$F$9:$F$128,"Ja")))</x:f>
      </x:c>
      <x:c r="H84" s="88" t="str">
        <x:f>IF(C84="","",MIN(MAX(0,D84+E84-F84-G84),MAX(0,IF(MONATSBUDGET!$C$11="",0,MONATSBUDGET!$C$11)-SUM(F80:F99)-SUM(H80:H83))))</x:f>
      </x:c>
      <x:c r="I84" s="88" t="str">
        <x:f>IF(C84="","",MAX(0,ROUND(D84+E84-F84-G84-H84,2)))</x:f>
      </x:c>
      <x:c r="J84" s="88" t="str">
        <x:f>IF(C84="","",F84+G84+H84)</x:f>
      </x:c>
      <x:c r="K84" s="88" t="str">
        <x:f>IF(C84="","",MAX(0,SUMIFS(SONDERZAHLUNGEN!$E$9:$E$128,SONDERZAHLUNGEN!$B$9:$B$128,C84,SONDERZAHLUNGEN!$C$9:$C$128,A84,SONDERZAHLUNGEN!$H$9:$H$128,"OK",SONDERZAHLUNGEN!$F$9:$F$128,"Ja")-G84))</x:f>
      </x:c>
    </x:row>
    <x:row r="85" ht="19" customHeight="1">
      <x:c r="A85" s="90" t="n">
        <x:f>MONATSBUDGET!$A$11</x:f>
        <x:v>46327</x:v>
      </x:c>
      <x:c r="B85" t="n">
        <x:f>6</x:f>
        <x:v>6</x:v>
      </x:c>
      <x:c r="C85" t="str">
        <x:f>IF($N$14="","",$N$14)</x:f>
      </x:c>
      <x:c r="D85" s="88" t="str">
        <x:f>IF(C85="","",I65)</x:f>
      </x:c>
      <x:c r="E85" s="88" t="str">
        <x:f>IF(C85="","",ROUND(D85*$P$14/12,2))</x:f>
      </x:c>
      <x:c r="F85" s="88" t="str">
        <x:f>IF(C85="","",MIN(D85+E85,$Q$14))</x:f>
      </x:c>
      <x:c r="G85" s="88" t="str">
        <x:f>IF(C85="","",MIN(MAX(0,D85+E85-F85),SUMIFS(SONDERZAHLUNGEN!$E$9:$E$128,SONDERZAHLUNGEN!$B$9:$B$128,C85,SONDERZAHLUNGEN!$C$9:$C$128,A85,SONDERZAHLUNGEN!$H$9:$H$128,"OK",SONDERZAHLUNGEN!$F$9:$F$128,"Ja")))</x:f>
      </x:c>
      <x:c r="H85" s="88" t="str">
        <x:f>IF(C85="","",MIN(MAX(0,D85+E85-F85-G85),MAX(0,IF(MONATSBUDGET!$C$11="",0,MONATSBUDGET!$C$11)-SUM(F80:F99)-SUM(H80:H84))))</x:f>
      </x:c>
      <x:c r="I85" s="88" t="str">
        <x:f>IF(C85="","",MAX(0,ROUND(D85+E85-F85-G85-H85,2)))</x:f>
      </x:c>
      <x:c r="J85" s="88" t="str">
        <x:f>IF(C85="","",F85+G85+H85)</x:f>
      </x:c>
      <x:c r="K85" s="88" t="str">
        <x:f>IF(C85="","",MAX(0,SUMIFS(SONDERZAHLUNGEN!$E$9:$E$128,SONDERZAHLUNGEN!$B$9:$B$128,C85,SONDERZAHLUNGEN!$C$9:$C$128,A85,SONDERZAHLUNGEN!$H$9:$H$128,"OK",SONDERZAHLUNGEN!$F$9:$F$128,"Ja")-G85))</x:f>
      </x:c>
    </x:row>
    <x:row r="86" ht="19" customHeight="1">
      <x:c r="A86" s="90" t="n">
        <x:f>MONATSBUDGET!$A$11</x:f>
        <x:v>46327</x:v>
      </x:c>
      <x:c r="B86" t="n">
        <x:f>7</x:f>
        <x:v>7</x:v>
      </x:c>
      <x:c r="C86" t="str">
        <x:f>IF($N$15="","",$N$15)</x:f>
      </x:c>
      <x:c r="D86" s="88" t="str">
        <x:f>IF(C86="","",I66)</x:f>
      </x:c>
      <x:c r="E86" s="88" t="str">
        <x:f>IF(C86="","",ROUND(D86*$P$15/12,2))</x:f>
      </x:c>
      <x:c r="F86" s="88" t="str">
        <x:f>IF(C86="","",MIN(D86+E86,$Q$15))</x:f>
      </x:c>
      <x:c r="G86" s="88" t="str">
        <x:f>IF(C86="","",MIN(MAX(0,D86+E86-F86),SUMIFS(SONDERZAHLUNGEN!$E$9:$E$128,SONDERZAHLUNGEN!$B$9:$B$128,C86,SONDERZAHLUNGEN!$C$9:$C$128,A86,SONDERZAHLUNGEN!$H$9:$H$128,"OK",SONDERZAHLUNGEN!$F$9:$F$128,"Ja")))</x:f>
      </x:c>
      <x:c r="H86" s="88" t="str">
        <x:f>IF(C86="","",MIN(MAX(0,D86+E86-F86-G86),MAX(0,IF(MONATSBUDGET!$C$11="",0,MONATSBUDGET!$C$11)-SUM(F80:F99)-SUM(H80:H85))))</x:f>
      </x:c>
      <x:c r="I86" s="88" t="str">
        <x:f>IF(C86="","",MAX(0,ROUND(D86+E86-F86-G86-H86,2)))</x:f>
      </x:c>
      <x:c r="J86" s="88" t="str">
        <x:f>IF(C86="","",F86+G86+H86)</x:f>
      </x:c>
      <x:c r="K86" s="88" t="str">
        <x:f>IF(C86="","",MAX(0,SUMIFS(SONDERZAHLUNGEN!$E$9:$E$128,SONDERZAHLUNGEN!$B$9:$B$128,C86,SONDERZAHLUNGEN!$C$9:$C$128,A86,SONDERZAHLUNGEN!$H$9:$H$128,"OK",SONDERZAHLUNGEN!$F$9:$F$128,"Ja")-G86))</x:f>
      </x:c>
    </x:row>
    <x:row r="87" ht="19" customHeight="1">
      <x:c r="A87" s="90" t="n">
        <x:f>MONATSBUDGET!$A$11</x:f>
        <x:v>46327</x:v>
      </x:c>
      <x:c r="B87" t="n">
        <x:f>8</x:f>
        <x:v>8</x:v>
      </x:c>
      <x:c r="C87" t="str">
        <x:f>IF($N$16="","",$N$16)</x:f>
      </x:c>
      <x:c r="D87" s="88" t="str">
        <x:f>IF(C87="","",I67)</x:f>
      </x:c>
      <x:c r="E87" s="88" t="str">
        <x:f>IF(C87="","",ROUND(D87*$P$16/12,2))</x:f>
      </x:c>
      <x:c r="F87" s="88" t="str">
        <x:f>IF(C87="","",MIN(D87+E87,$Q$16))</x:f>
      </x:c>
      <x:c r="G87" s="88" t="str">
        <x:f>IF(C87="","",MIN(MAX(0,D87+E87-F87),SUMIFS(SONDERZAHLUNGEN!$E$9:$E$128,SONDERZAHLUNGEN!$B$9:$B$128,C87,SONDERZAHLUNGEN!$C$9:$C$128,A87,SONDERZAHLUNGEN!$H$9:$H$128,"OK",SONDERZAHLUNGEN!$F$9:$F$128,"Ja")))</x:f>
      </x:c>
      <x:c r="H87" s="88" t="str">
        <x:f>IF(C87="","",MIN(MAX(0,D87+E87-F87-G87),MAX(0,IF(MONATSBUDGET!$C$11="",0,MONATSBUDGET!$C$11)-SUM(F80:F99)-SUM(H80:H86))))</x:f>
      </x:c>
      <x:c r="I87" s="88" t="str">
        <x:f>IF(C87="","",MAX(0,ROUND(D87+E87-F87-G87-H87,2)))</x:f>
      </x:c>
      <x:c r="J87" s="88" t="str">
        <x:f>IF(C87="","",F87+G87+H87)</x:f>
      </x:c>
      <x:c r="K87" s="88" t="str">
        <x:f>IF(C87="","",MAX(0,SUMIFS(SONDERZAHLUNGEN!$E$9:$E$128,SONDERZAHLUNGEN!$B$9:$B$128,C87,SONDERZAHLUNGEN!$C$9:$C$128,A87,SONDERZAHLUNGEN!$H$9:$H$128,"OK",SONDERZAHLUNGEN!$F$9:$F$128,"Ja")-G87))</x:f>
      </x:c>
    </x:row>
    <x:row r="88" ht="19" customHeight="1">
      <x:c r="A88" s="90" t="n">
        <x:f>MONATSBUDGET!$A$11</x:f>
        <x:v>46327</x:v>
      </x:c>
      <x:c r="B88" t="n">
        <x:f>9</x:f>
        <x:v>9</x:v>
      </x:c>
      <x:c r="C88" t="str">
        <x:f>IF($N$17="","",$N$17)</x:f>
      </x:c>
      <x:c r="D88" s="88" t="str">
        <x:f>IF(C88="","",I68)</x:f>
      </x:c>
      <x:c r="E88" s="88" t="str">
        <x:f>IF(C88="","",ROUND(D88*$P$17/12,2))</x:f>
      </x:c>
      <x:c r="F88" s="88" t="str">
        <x:f>IF(C88="","",MIN(D88+E88,$Q$17))</x:f>
      </x:c>
      <x:c r="G88" s="88" t="str">
        <x:f>IF(C88="","",MIN(MAX(0,D88+E88-F88),SUMIFS(SONDERZAHLUNGEN!$E$9:$E$128,SONDERZAHLUNGEN!$B$9:$B$128,C88,SONDERZAHLUNGEN!$C$9:$C$128,A88,SONDERZAHLUNGEN!$H$9:$H$128,"OK",SONDERZAHLUNGEN!$F$9:$F$128,"Ja")))</x:f>
      </x:c>
      <x:c r="H88" s="88" t="str">
        <x:f>IF(C88="","",MIN(MAX(0,D88+E88-F88-G88),MAX(0,IF(MONATSBUDGET!$C$11="",0,MONATSBUDGET!$C$11)-SUM(F80:F99)-SUM(H80:H87))))</x:f>
      </x:c>
      <x:c r="I88" s="88" t="str">
        <x:f>IF(C88="","",MAX(0,ROUND(D88+E88-F88-G88-H88,2)))</x:f>
      </x:c>
      <x:c r="J88" s="88" t="str">
        <x:f>IF(C88="","",F88+G88+H88)</x:f>
      </x:c>
      <x:c r="K88" s="88" t="str">
        <x:f>IF(C88="","",MAX(0,SUMIFS(SONDERZAHLUNGEN!$E$9:$E$128,SONDERZAHLUNGEN!$B$9:$B$128,C88,SONDERZAHLUNGEN!$C$9:$C$128,A88,SONDERZAHLUNGEN!$H$9:$H$128,"OK",SONDERZAHLUNGEN!$F$9:$F$128,"Ja")-G88))</x:f>
      </x:c>
    </x:row>
    <x:row r="89" ht="19" customHeight="1">
      <x:c r="A89" s="90" t="n">
        <x:f>MONATSBUDGET!$A$11</x:f>
        <x:v>46327</x:v>
      </x:c>
      <x:c r="B89" t="n">
        <x:f>10</x:f>
        <x:v>10</x:v>
      </x:c>
      <x:c r="C89" t="str">
        <x:f>IF($N$18="","",$N$18)</x:f>
      </x:c>
      <x:c r="D89" s="88" t="str">
        <x:f>IF(C89="","",I69)</x:f>
      </x:c>
      <x:c r="E89" s="88" t="str">
        <x:f>IF(C89="","",ROUND(D89*$P$18/12,2))</x:f>
      </x:c>
      <x:c r="F89" s="88" t="str">
        <x:f>IF(C89="","",MIN(D89+E89,$Q$18))</x:f>
      </x:c>
      <x:c r="G89" s="88" t="str">
        <x:f>IF(C89="","",MIN(MAX(0,D89+E89-F89),SUMIFS(SONDERZAHLUNGEN!$E$9:$E$128,SONDERZAHLUNGEN!$B$9:$B$128,C89,SONDERZAHLUNGEN!$C$9:$C$128,A89,SONDERZAHLUNGEN!$H$9:$H$128,"OK",SONDERZAHLUNGEN!$F$9:$F$128,"Ja")))</x:f>
      </x:c>
      <x:c r="H89" s="88" t="str">
        <x:f>IF(C89="","",MIN(MAX(0,D89+E89-F89-G89),MAX(0,IF(MONATSBUDGET!$C$11="",0,MONATSBUDGET!$C$11)-SUM(F80:F99)-SUM(H80:H88))))</x:f>
      </x:c>
      <x:c r="I89" s="88" t="str">
        <x:f>IF(C89="","",MAX(0,ROUND(D89+E89-F89-G89-H89,2)))</x:f>
      </x:c>
      <x:c r="J89" s="88" t="str">
        <x:f>IF(C89="","",F89+G89+H89)</x:f>
      </x:c>
      <x:c r="K89" s="88" t="str">
        <x:f>IF(C89="","",MAX(0,SUMIFS(SONDERZAHLUNGEN!$E$9:$E$128,SONDERZAHLUNGEN!$B$9:$B$128,C89,SONDERZAHLUNGEN!$C$9:$C$128,A89,SONDERZAHLUNGEN!$H$9:$H$128,"OK",SONDERZAHLUNGEN!$F$9:$F$128,"Ja")-G89))</x:f>
      </x:c>
    </x:row>
    <x:row r="90" ht="19" customHeight="1">
      <x:c r="A90" s="90" t="n">
        <x:f>MONATSBUDGET!$A$11</x:f>
        <x:v>46327</x:v>
      </x:c>
      <x:c r="B90" t="n">
        <x:f>11</x:f>
        <x:v>11</x:v>
      </x:c>
      <x:c r="C90" t="str">
        <x:f>IF($N$19="","",$N$19)</x:f>
      </x:c>
      <x:c r="D90" s="88" t="str">
        <x:f>IF(C90="","",I70)</x:f>
      </x:c>
      <x:c r="E90" s="88" t="str">
        <x:f>IF(C90="","",ROUND(D90*$P$19/12,2))</x:f>
      </x:c>
      <x:c r="F90" s="88" t="str">
        <x:f>IF(C90="","",MIN(D90+E90,$Q$19))</x:f>
      </x:c>
      <x:c r="G90" s="88" t="str">
        <x:f>IF(C90="","",MIN(MAX(0,D90+E90-F90),SUMIFS(SONDERZAHLUNGEN!$E$9:$E$128,SONDERZAHLUNGEN!$B$9:$B$128,C90,SONDERZAHLUNGEN!$C$9:$C$128,A90,SONDERZAHLUNGEN!$H$9:$H$128,"OK",SONDERZAHLUNGEN!$F$9:$F$128,"Ja")))</x:f>
      </x:c>
      <x:c r="H90" s="88" t="str">
        <x:f>IF(C90="","",MIN(MAX(0,D90+E90-F90-G90),MAX(0,IF(MONATSBUDGET!$C$11="",0,MONATSBUDGET!$C$11)-SUM(F80:F99)-SUM(H80:H89))))</x:f>
      </x:c>
      <x:c r="I90" s="88" t="str">
        <x:f>IF(C90="","",MAX(0,ROUND(D90+E90-F90-G90-H90,2)))</x:f>
      </x:c>
      <x:c r="J90" s="88" t="str">
        <x:f>IF(C90="","",F90+G90+H90)</x:f>
      </x:c>
      <x:c r="K90" s="88" t="str">
        <x:f>IF(C90="","",MAX(0,SUMIFS(SONDERZAHLUNGEN!$E$9:$E$128,SONDERZAHLUNGEN!$B$9:$B$128,C90,SONDERZAHLUNGEN!$C$9:$C$128,A90,SONDERZAHLUNGEN!$H$9:$H$128,"OK",SONDERZAHLUNGEN!$F$9:$F$128,"Ja")-G90))</x:f>
      </x:c>
    </x:row>
    <x:row r="91" ht="19" customHeight="1">
      <x:c r="A91" s="90" t="n">
        <x:f>MONATSBUDGET!$A$11</x:f>
        <x:v>46327</x:v>
      </x:c>
      <x:c r="B91" t="n">
        <x:f>12</x:f>
        <x:v>12</x:v>
      </x:c>
      <x:c r="C91" t="str">
        <x:f>IF($N$20="","",$N$20)</x:f>
      </x:c>
      <x:c r="D91" s="88" t="str">
        <x:f>IF(C91="","",I71)</x:f>
      </x:c>
      <x:c r="E91" s="88" t="str">
        <x:f>IF(C91="","",ROUND(D91*$P$20/12,2))</x:f>
      </x:c>
      <x:c r="F91" s="88" t="str">
        <x:f>IF(C91="","",MIN(D91+E91,$Q$20))</x:f>
      </x:c>
      <x:c r="G91" s="88" t="str">
        <x:f>IF(C91="","",MIN(MAX(0,D91+E91-F91),SUMIFS(SONDERZAHLUNGEN!$E$9:$E$128,SONDERZAHLUNGEN!$B$9:$B$128,C91,SONDERZAHLUNGEN!$C$9:$C$128,A91,SONDERZAHLUNGEN!$H$9:$H$128,"OK",SONDERZAHLUNGEN!$F$9:$F$128,"Ja")))</x:f>
      </x:c>
      <x:c r="H91" s="88" t="str">
        <x:f>IF(C91="","",MIN(MAX(0,D91+E91-F91-G91),MAX(0,IF(MONATSBUDGET!$C$11="",0,MONATSBUDGET!$C$11)-SUM(F80:F99)-SUM(H80:H90))))</x:f>
      </x:c>
      <x:c r="I91" s="88" t="str">
        <x:f>IF(C91="","",MAX(0,ROUND(D91+E91-F91-G91-H91,2)))</x:f>
      </x:c>
      <x:c r="J91" s="88" t="str">
        <x:f>IF(C91="","",F91+G91+H91)</x:f>
      </x:c>
      <x:c r="K91" s="88" t="str">
        <x:f>IF(C91="","",MAX(0,SUMIFS(SONDERZAHLUNGEN!$E$9:$E$128,SONDERZAHLUNGEN!$B$9:$B$128,C91,SONDERZAHLUNGEN!$C$9:$C$128,A91,SONDERZAHLUNGEN!$H$9:$H$128,"OK",SONDERZAHLUNGEN!$F$9:$F$128,"Ja")-G91))</x:f>
      </x:c>
    </x:row>
    <x:row r="92" ht="19" customHeight="1">
      <x:c r="A92" s="90" t="n">
        <x:f>MONATSBUDGET!$A$11</x:f>
        <x:v>46327</x:v>
      </x:c>
      <x:c r="B92" t="n">
        <x:f>13</x:f>
        <x:v>13</x:v>
      </x:c>
      <x:c r="C92" t="str">
        <x:f>IF($N$21="","",$N$21)</x:f>
      </x:c>
      <x:c r="D92" s="88" t="str">
        <x:f>IF(C92="","",I72)</x:f>
      </x:c>
      <x:c r="E92" s="88" t="str">
        <x:f>IF(C92="","",ROUND(D92*$P$21/12,2))</x:f>
      </x:c>
      <x:c r="F92" s="88" t="str">
        <x:f>IF(C92="","",MIN(D92+E92,$Q$21))</x:f>
      </x:c>
      <x:c r="G92" s="88" t="str">
        <x:f>IF(C92="","",MIN(MAX(0,D92+E92-F92),SUMIFS(SONDERZAHLUNGEN!$E$9:$E$128,SONDERZAHLUNGEN!$B$9:$B$128,C92,SONDERZAHLUNGEN!$C$9:$C$128,A92,SONDERZAHLUNGEN!$H$9:$H$128,"OK",SONDERZAHLUNGEN!$F$9:$F$128,"Ja")))</x:f>
      </x:c>
      <x:c r="H92" s="88" t="str">
        <x:f>IF(C92="","",MIN(MAX(0,D92+E92-F92-G92),MAX(0,IF(MONATSBUDGET!$C$11="",0,MONATSBUDGET!$C$11)-SUM(F80:F99)-SUM(H80:H91))))</x:f>
      </x:c>
      <x:c r="I92" s="88" t="str">
        <x:f>IF(C92="","",MAX(0,ROUND(D92+E92-F92-G92-H92,2)))</x:f>
      </x:c>
      <x:c r="J92" s="88" t="str">
        <x:f>IF(C92="","",F92+G92+H92)</x:f>
      </x:c>
      <x:c r="K92" s="88" t="str">
        <x:f>IF(C92="","",MAX(0,SUMIFS(SONDERZAHLUNGEN!$E$9:$E$128,SONDERZAHLUNGEN!$B$9:$B$128,C92,SONDERZAHLUNGEN!$C$9:$C$128,A92,SONDERZAHLUNGEN!$H$9:$H$128,"OK",SONDERZAHLUNGEN!$F$9:$F$128,"Ja")-G92))</x:f>
      </x:c>
    </x:row>
    <x:row r="93" ht="19" customHeight="1">
      <x:c r="A93" s="90" t="n">
        <x:f>MONATSBUDGET!$A$11</x:f>
        <x:v>46327</x:v>
      </x:c>
      <x:c r="B93" t="n">
        <x:f>14</x:f>
        <x:v>14</x:v>
      </x:c>
      <x:c r="C93" t="str">
        <x:f>IF($N$22="","",$N$22)</x:f>
      </x:c>
      <x:c r="D93" s="88" t="str">
        <x:f>IF(C93="","",I73)</x:f>
      </x:c>
      <x:c r="E93" s="88" t="str">
        <x:f>IF(C93="","",ROUND(D93*$P$22/12,2))</x:f>
      </x:c>
      <x:c r="F93" s="88" t="str">
        <x:f>IF(C93="","",MIN(D93+E93,$Q$22))</x:f>
      </x:c>
      <x:c r="G93" s="88" t="str">
        <x:f>IF(C93="","",MIN(MAX(0,D93+E93-F93),SUMIFS(SONDERZAHLUNGEN!$E$9:$E$128,SONDERZAHLUNGEN!$B$9:$B$128,C93,SONDERZAHLUNGEN!$C$9:$C$128,A93,SONDERZAHLUNGEN!$H$9:$H$128,"OK",SONDERZAHLUNGEN!$F$9:$F$128,"Ja")))</x:f>
      </x:c>
      <x:c r="H93" s="88" t="str">
        <x:f>IF(C93="","",MIN(MAX(0,D93+E93-F93-G93),MAX(0,IF(MONATSBUDGET!$C$11="",0,MONATSBUDGET!$C$11)-SUM(F80:F99)-SUM(H80:H92))))</x:f>
      </x:c>
      <x:c r="I93" s="88" t="str">
        <x:f>IF(C93="","",MAX(0,ROUND(D93+E93-F93-G93-H93,2)))</x:f>
      </x:c>
      <x:c r="J93" s="88" t="str">
        <x:f>IF(C93="","",F93+G93+H93)</x:f>
      </x:c>
      <x:c r="K93" s="88" t="str">
        <x:f>IF(C93="","",MAX(0,SUMIFS(SONDERZAHLUNGEN!$E$9:$E$128,SONDERZAHLUNGEN!$B$9:$B$128,C93,SONDERZAHLUNGEN!$C$9:$C$128,A93,SONDERZAHLUNGEN!$H$9:$H$128,"OK",SONDERZAHLUNGEN!$F$9:$F$128,"Ja")-G93))</x:f>
      </x:c>
    </x:row>
    <x:row r="94" ht="19" customHeight="1">
      <x:c r="A94" s="90" t="n">
        <x:f>MONATSBUDGET!$A$11</x:f>
        <x:v>46327</x:v>
      </x:c>
      <x:c r="B94" t="n">
        <x:f>15</x:f>
        <x:v>15</x:v>
      </x:c>
      <x:c r="C94" t="str">
        <x:f>IF($N$23="","",$N$23)</x:f>
      </x:c>
      <x:c r="D94" s="88" t="str">
        <x:f>IF(C94="","",I74)</x:f>
      </x:c>
      <x:c r="E94" s="88" t="str">
        <x:f>IF(C94="","",ROUND(D94*$P$23/12,2))</x:f>
      </x:c>
      <x:c r="F94" s="88" t="str">
        <x:f>IF(C94="","",MIN(D94+E94,$Q$23))</x:f>
      </x:c>
      <x:c r="G94" s="88" t="str">
        <x:f>IF(C94="","",MIN(MAX(0,D94+E94-F94),SUMIFS(SONDERZAHLUNGEN!$E$9:$E$128,SONDERZAHLUNGEN!$B$9:$B$128,C94,SONDERZAHLUNGEN!$C$9:$C$128,A94,SONDERZAHLUNGEN!$H$9:$H$128,"OK",SONDERZAHLUNGEN!$F$9:$F$128,"Ja")))</x:f>
      </x:c>
      <x:c r="H94" s="88" t="str">
        <x:f>IF(C94="","",MIN(MAX(0,D94+E94-F94-G94),MAX(0,IF(MONATSBUDGET!$C$11="",0,MONATSBUDGET!$C$11)-SUM(F80:F99)-SUM(H80:H93))))</x:f>
      </x:c>
      <x:c r="I94" s="88" t="str">
        <x:f>IF(C94="","",MAX(0,ROUND(D94+E94-F94-G94-H94,2)))</x:f>
      </x:c>
      <x:c r="J94" s="88" t="str">
        <x:f>IF(C94="","",F94+G94+H94)</x:f>
      </x:c>
      <x:c r="K94" s="88" t="str">
        <x:f>IF(C94="","",MAX(0,SUMIFS(SONDERZAHLUNGEN!$E$9:$E$128,SONDERZAHLUNGEN!$B$9:$B$128,C94,SONDERZAHLUNGEN!$C$9:$C$128,A94,SONDERZAHLUNGEN!$H$9:$H$128,"OK",SONDERZAHLUNGEN!$F$9:$F$128,"Ja")-G94))</x:f>
      </x:c>
    </x:row>
    <x:row r="95" ht="19" customHeight="1">
      <x:c r="A95" s="90" t="n">
        <x:f>MONATSBUDGET!$A$11</x:f>
        <x:v>46327</x:v>
      </x:c>
      <x:c r="B95" t="n">
        <x:f>16</x:f>
        <x:v>16</x:v>
      </x:c>
      <x:c r="C95" t="str">
        <x:f>IF($N$24="","",$N$24)</x:f>
      </x:c>
      <x:c r="D95" s="88" t="str">
        <x:f>IF(C95="","",I75)</x:f>
      </x:c>
      <x:c r="E95" s="88" t="str">
        <x:f>IF(C95="","",ROUND(D95*$P$24/12,2))</x:f>
      </x:c>
      <x:c r="F95" s="88" t="str">
        <x:f>IF(C95="","",MIN(D95+E95,$Q$24))</x:f>
      </x:c>
      <x:c r="G95" s="88" t="str">
        <x:f>IF(C95="","",MIN(MAX(0,D95+E95-F95),SUMIFS(SONDERZAHLUNGEN!$E$9:$E$128,SONDERZAHLUNGEN!$B$9:$B$128,C95,SONDERZAHLUNGEN!$C$9:$C$128,A95,SONDERZAHLUNGEN!$H$9:$H$128,"OK",SONDERZAHLUNGEN!$F$9:$F$128,"Ja")))</x:f>
      </x:c>
      <x:c r="H95" s="88" t="str">
        <x:f>IF(C95="","",MIN(MAX(0,D95+E95-F95-G95),MAX(0,IF(MONATSBUDGET!$C$11="",0,MONATSBUDGET!$C$11)-SUM(F80:F99)-SUM(H80:H94))))</x:f>
      </x:c>
      <x:c r="I95" s="88" t="str">
        <x:f>IF(C95="","",MAX(0,ROUND(D95+E95-F95-G95-H95,2)))</x:f>
      </x:c>
      <x:c r="J95" s="88" t="str">
        <x:f>IF(C95="","",F95+G95+H95)</x:f>
      </x:c>
      <x:c r="K95" s="88" t="str">
        <x:f>IF(C95="","",MAX(0,SUMIFS(SONDERZAHLUNGEN!$E$9:$E$128,SONDERZAHLUNGEN!$B$9:$B$128,C95,SONDERZAHLUNGEN!$C$9:$C$128,A95,SONDERZAHLUNGEN!$H$9:$H$128,"OK",SONDERZAHLUNGEN!$F$9:$F$128,"Ja")-G95))</x:f>
      </x:c>
    </x:row>
    <x:row r="96" ht="19" customHeight="1">
      <x:c r="A96" s="90" t="n">
        <x:f>MONATSBUDGET!$A$11</x:f>
        <x:v>46327</x:v>
      </x:c>
      <x:c r="B96" t="n">
        <x:f>17</x:f>
        <x:v>17</x:v>
      </x:c>
      <x:c r="C96" t="str">
        <x:f>IF($N$25="","",$N$25)</x:f>
      </x:c>
      <x:c r="D96" s="88" t="str">
        <x:f>IF(C96="","",I76)</x:f>
      </x:c>
      <x:c r="E96" s="88" t="str">
        <x:f>IF(C96="","",ROUND(D96*$P$25/12,2))</x:f>
      </x:c>
      <x:c r="F96" s="88" t="str">
        <x:f>IF(C96="","",MIN(D96+E96,$Q$25))</x:f>
      </x:c>
      <x:c r="G96" s="88" t="str">
        <x:f>IF(C96="","",MIN(MAX(0,D96+E96-F96),SUMIFS(SONDERZAHLUNGEN!$E$9:$E$128,SONDERZAHLUNGEN!$B$9:$B$128,C96,SONDERZAHLUNGEN!$C$9:$C$128,A96,SONDERZAHLUNGEN!$H$9:$H$128,"OK",SONDERZAHLUNGEN!$F$9:$F$128,"Ja")))</x:f>
      </x:c>
      <x:c r="H96" s="88" t="str">
        <x:f>IF(C96="","",MIN(MAX(0,D96+E96-F96-G96),MAX(0,IF(MONATSBUDGET!$C$11="",0,MONATSBUDGET!$C$11)-SUM(F80:F99)-SUM(H80:H95))))</x:f>
      </x:c>
      <x:c r="I96" s="88" t="str">
        <x:f>IF(C96="","",MAX(0,ROUND(D96+E96-F96-G96-H96,2)))</x:f>
      </x:c>
      <x:c r="J96" s="88" t="str">
        <x:f>IF(C96="","",F96+G96+H96)</x:f>
      </x:c>
      <x:c r="K96" s="88" t="str">
        <x:f>IF(C96="","",MAX(0,SUMIFS(SONDERZAHLUNGEN!$E$9:$E$128,SONDERZAHLUNGEN!$B$9:$B$128,C96,SONDERZAHLUNGEN!$C$9:$C$128,A96,SONDERZAHLUNGEN!$H$9:$H$128,"OK",SONDERZAHLUNGEN!$F$9:$F$128,"Ja")-G96))</x:f>
      </x:c>
    </x:row>
    <x:row r="97" ht="19" customHeight="1">
      <x:c r="A97" s="90" t="n">
        <x:f>MONATSBUDGET!$A$11</x:f>
        <x:v>46327</x:v>
      </x:c>
      <x:c r="B97" t="n">
        <x:f>18</x:f>
        <x:v>18</x:v>
      </x:c>
      <x:c r="C97" t="str">
        <x:f>IF($N$26="","",$N$26)</x:f>
      </x:c>
      <x:c r="D97" s="88" t="str">
        <x:f>IF(C97="","",I77)</x:f>
      </x:c>
      <x:c r="E97" s="88" t="str">
        <x:f>IF(C97="","",ROUND(D97*$P$26/12,2))</x:f>
      </x:c>
      <x:c r="F97" s="88" t="str">
        <x:f>IF(C97="","",MIN(D97+E97,$Q$26))</x:f>
      </x:c>
      <x:c r="G97" s="88" t="str">
        <x:f>IF(C97="","",MIN(MAX(0,D97+E97-F97),SUMIFS(SONDERZAHLUNGEN!$E$9:$E$128,SONDERZAHLUNGEN!$B$9:$B$128,C97,SONDERZAHLUNGEN!$C$9:$C$128,A97,SONDERZAHLUNGEN!$H$9:$H$128,"OK",SONDERZAHLUNGEN!$F$9:$F$128,"Ja")))</x:f>
      </x:c>
      <x:c r="H97" s="88" t="str">
        <x:f>IF(C97="","",MIN(MAX(0,D97+E97-F97-G97),MAX(0,IF(MONATSBUDGET!$C$11="",0,MONATSBUDGET!$C$11)-SUM(F80:F99)-SUM(H80:H96))))</x:f>
      </x:c>
      <x:c r="I97" s="88" t="str">
        <x:f>IF(C97="","",MAX(0,ROUND(D97+E97-F97-G97-H97,2)))</x:f>
      </x:c>
      <x:c r="J97" s="88" t="str">
        <x:f>IF(C97="","",F97+G97+H97)</x:f>
      </x:c>
      <x:c r="K97" s="88" t="str">
        <x:f>IF(C97="","",MAX(0,SUMIFS(SONDERZAHLUNGEN!$E$9:$E$128,SONDERZAHLUNGEN!$B$9:$B$128,C97,SONDERZAHLUNGEN!$C$9:$C$128,A97,SONDERZAHLUNGEN!$H$9:$H$128,"OK",SONDERZAHLUNGEN!$F$9:$F$128,"Ja")-G97))</x:f>
      </x:c>
    </x:row>
    <x:row r="98" ht="19" customHeight="1">
      <x:c r="A98" s="90" t="n">
        <x:f>MONATSBUDGET!$A$11</x:f>
        <x:v>46327</x:v>
      </x:c>
      <x:c r="B98" t="n">
        <x:f>19</x:f>
        <x:v>19</x:v>
      </x:c>
      <x:c r="C98" t="str">
        <x:f>IF($N$27="","",$N$27)</x:f>
      </x:c>
      <x:c r="D98" s="88" t="str">
        <x:f>IF(C98="","",I78)</x:f>
      </x:c>
      <x:c r="E98" s="88" t="str">
        <x:f>IF(C98="","",ROUND(D98*$P$27/12,2))</x:f>
      </x:c>
      <x:c r="F98" s="88" t="str">
        <x:f>IF(C98="","",MIN(D98+E98,$Q$27))</x:f>
      </x:c>
      <x:c r="G98" s="88" t="str">
        <x:f>IF(C98="","",MIN(MAX(0,D98+E98-F98),SUMIFS(SONDERZAHLUNGEN!$E$9:$E$128,SONDERZAHLUNGEN!$B$9:$B$128,C98,SONDERZAHLUNGEN!$C$9:$C$128,A98,SONDERZAHLUNGEN!$H$9:$H$128,"OK",SONDERZAHLUNGEN!$F$9:$F$128,"Ja")))</x:f>
      </x:c>
      <x:c r="H98" s="88" t="str">
        <x:f>IF(C98="","",MIN(MAX(0,D98+E98-F98-G98),MAX(0,IF(MONATSBUDGET!$C$11="",0,MONATSBUDGET!$C$11)-SUM(F80:F99)-SUM(H80:H97))))</x:f>
      </x:c>
      <x:c r="I98" s="88" t="str">
        <x:f>IF(C98="","",MAX(0,ROUND(D98+E98-F98-G98-H98,2)))</x:f>
      </x:c>
      <x:c r="J98" s="88" t="str">
        <x:f>IF(C98="","",F98+G98+H98)</x:f>
      </x:c>
      <x:c r="K98" s="88" t="str">
        <x:f>IF(C98="","",MAX(0,SUMIFS(SONDERZAHLUNGEN!$E$9:$E$128,SONDERZAHLUNGEN!$B$9:$B$128,C98,SONDERZAHLUNGEN!$C$9:$C$128,A98,SONDERZAHLUNGEN!$H$9:$H$128,"OK",SONDERZAHLUNGEN!$F$9:$F$128,"Ja")-G98))</x:f>
      </x:c>
    </x:row>
    <x:row r="99" ht="19" customHeight="1">
      <x:c r="A99" s="90" t="n">
        <x:f>MONATSBUDGET!$A$11</x:f>
        <x:v>46327</x:v>
      </x:c>
      <x:c r="B99" t="n">
        <x:f>20</x:f>
        <x:v>20</x:v>
      </x:c>
      <x:c r="C99" t="str">
        <x:f>IF($N$28="","",$N$28)</x:f>
      </x:c>
      <x:c r="D99" s="88" t="str">
        <x:f>IF(C99="","",I79)</x:f>
      </x:c>
      <x:c r="E99" s="88" t="str">
        <x:f>IF(C99="","",ROUND(D99*$P$28/12,2))</x:f>
      </x:c>
      <x:c r="F99" s="88" t="str">
        <x:f>IF(C99="","",MIN(D99+E99,$Q$28))</x:f>
      </x:c>
      <x:c r="G99" s="88" t="str">
        <x:f>IF(C99="","",MIN(MAX(0,D99+E99-F99),SUMIFS(SONDERZAHLUNGEN!$E$9:$E$128,SONDERZAHLUNGEN!$B$9:$B$128,C99,SONDERZAHLUNGEN!$C$9:$C$128,A99,SONDERZAHLUNGEN!$H$9:$H$128,"OK",SONDERZAHLUNGEN!$F$9:$F$128,"Ja")))</x:f>
      </x:c>
      <x:c r="H99" s="88" t="str">
        <x:f>IF(C99="","",MIN(MAX(0,D99+E99-F99-G99),MAX(0,IF(MONATSBUDGET!$C$11="",0,MONATSBUDGET!$C$11)-SUM(F80:F99)-SUM(H80:H98))))</x:f>
      </x:c>
      <x:c r="I99" s="88" t="str">
        <x:f>IF(C99="","",MAX(0,ROUND(D99+E99-F99-G99-H99,2)))</x:f>
      </x:c>
      <x:c r="J99" s="88" t="str">
        <x:f>IF(C99="","",F99+G99+H99)</x:f>
      </x:c>
      <x:c r="K99" s="88" t="str">
        <x:f>IF(C99="","",MAX(0,SUMIFS(SONDERZAHLUNGEN!$E$9:$E$128,SONDERZAHLUNGEN!$B$9:$B$128,C99,SONDERZAHLUNGEN!$C$9:$C$128,A99,SONDERZAHLUNGEN!$H$9:$H$128,"OK",SONDERZAHLUNGEN!$F$9:$F$128,"Ja")-G99))</x:f>
      </x:c>
    </x:row>
    <x:row r="100" ht="19" customHeight="1">
      <x:c r="A100" s="90" t="n">
        <x:f>MONATSBUDGET!$A$12</x:f>
        <x:v>46357</x:v>
      </x:c>
      <x:c r="B100" t="n">
        <x:f>1</x:f>
        <x:v>1</x:v>
      </x:c>
      <x:c r="C100" t="str">
        <x:f>IF($N$9="","",$N$9)</x:f>
      </x:c>
      <x:c r="D100" s="88" t="str">
        <x:f>IF(C100="","",I80)</x:f>
      </x:c>
      <x:c r="E100" s="88" t="str">
        <x:f>IF(C100="","",ROUND(D100*$P$9/12,2))</x:f>
      </x:c>
      <x:c r="F100" s="88" t="str">
        <x:f>IF(C100="","",MIN(D100+E100,$Q$9))</x:f>
      </x:c>
      <x:c r="G100" s="88" t="str">
        <x:f>IF(C100="","",MIN(MAX(0,D100+E100-F100),SUMIFS(SONDERZAHLUNGEN!$E$9:$E$128,SONDERZAHLUNGEN!$B$9:$B$128,C100,SONDERZAHLUNGEN!$C$9:$C$128,A100,SONDERZAHLUNGEN!$H$9:$H$128,"OK",SONDERZAHLUNGEN!$F$9:$F$128,"Ja")))</x:f>
      </x:c>
      <x:c r="H100" s="88" t="str">
        <x:f>IF(C100="","",MIN(MAX(0,D100+E100-F100-G100),MAX(0,IF(MONATSBUDGET!$C$12="",0,MONATSBUDGET!$C$12)-SUM(F100:F119)-0)))</x:f>
      </x:c>
      <x:c r="I100" s="88" t="str">
        <x:f>IF(C100="","",MAX(0,ROUND(D100+E100-F100-G100-H100,2)))</x:f>
      </x:c>
      <x:c r="J100" s="88" t="str">
        <x:f>IF(C100="","",F100+G100+H100)</x:f>
      </x:c>
      <x:c r="K100" s="88" t="str">
        <x:f>IF(C100="","",MAX(0,SUMIFS(SONDERZAHLUNGEN!$E$9:$E$128,SONDERZAHLUNGEN!$B$9:$B$128,C100,SONDERZAHLUNGEN!$C$9:$C$128,A100,SONDERZAHLUNGEN!$H$9:$H$128,"OK",SONDERZAHLUNGEN!$F$9:$F$128,"Ja")-G100))</x:f>
      </x:c>
    </x:row>
    <x:row r="101" ht="19" customHeight="1">
      <x:c r="A101" s="90" t="n">
        <x:f>MONATSBUDGET!$A$12</x:f>
        <x:v>46357</x:v>
      </x:c>
      <x:c r="B101" t="n">
        <x:f>2</x:f>
        <x:v>2</x:v>
      </x:c>
      <x:c r="C101" t="str">
        <x:f>IF($N$10="","",$N$10)</x:f>
      </x:c>
      <x:c r="D101" s="88" t="str">
        <x:f>IF(C101="","",I81)</x:f>
      </x:c>
      <x:c r="E101" s="88" t="str">
        <x:f>IF(C101="","",ROUND(D101*$P$10/12,2))</x:f>
      </x:c>
      <x:c r="F101" s="88" t="str">
        <x:f>IF(C101="","",MIN(D101+E101,$Q$10))</x:f>
      </x:c>
      <x:c r="G101" s="88" t="str">
        <x:f>IF(C101="","",MIN(MAX(0,D101+E101-F101),SUMIFS(SONDERZAHLUNGEN!$E$9:$E$128,SONDERZAHLUNGEN!$B$9:$B$128,C101,SONDERZAHLUNGEN!$C$9:$C$128,A101,SONDERZAHLUNGEN!$H$9:$H$128,"OK",SONDERZAHLUNGEN!$F$9:$F$128,"Ja")))</x:f>
      </x:c>
      <x:c r="H101" s="88" t="str">
        <x:f>IF(C101="","",MIN(MAX(0,D101+E101-F101-G101),MAX(0,IF(MONATSBUDGET!$C$12="",0,MONATSBUDGET!$C$12)-SUM(F100:F119)-SUM(H100:H100))))</x:f>
      </x:c>
      <x:c r="I101" s="88" t="str">
        <x:f>IF(C101="","",MAX(0,ROUND(D101+E101-F101-G101-H101,2)))</x:f>
      </x:c>
      <x:c r="J101" s="88" t="str">
        <x:f>IF(C101="","",F101+G101+H101)</x:f>
      </x:c>
      <x:c r="K101" s="88" t="str">
        <x:f>IF(C101="","",MAX(0,SUMIFS(SONDERZAHLUNGEN!$E$9:$E$128,SONDERZAHLUNGEN!$B$9:$B$128,C101,SONDERZAHLUNGEN!$C$9:$C$128,A101,SONDERZAHLUNGEN!$H$9:$H$128,"OK",SONDERZAHLUNGEN!$F$9:$F$128,"Ja")-G101))</x:f>
      </x:c>
    </x:row>
    <x:row r="102" ht="19" customHeight="1">
      <x:c r="A102" s="90" t="n">
        <x:f>MONATSBUDGET!$A$12</x:f>
        <x:v>46357</x:v>
      </x:c>
      <x:c r="B102" t="n">
        <x:f>3</x:f>
        <x:v>3</x:v>
      </x:c>
      <x:c r="C102" t="str">
        <x:f>IF($N$11="","",$N$11)</x:f>
      </x:c>
      <x:c r="D102" s="88" t="str">
        <x:f>IF(C102="","",I82)</x:f>
      </x:c>
      <x:c r="E102" s="88" t="str">
        <x:f>IF(C102="","",ROUND(D102*$P$11/12,2))</x:f>
      </x:c>
      <x:c r="F102" s="88" t="str">
        <x:f>IF(C102="","",MIN(D102+E102,$Q$11))</x:f>
      </x:c>
      <x:c r="G102" s="88" t="str">
        <x:f>IF(C102="","",MIN(MAX(0,D102+E102-F102),SUMIFS(SONDERZAHLUNGEN!$E$9:$E$128,SONDERZAHLUNGEN!$B$9:$B$128,C102,SONDERZAHLUNGEN!$C$9:$C$128,A102,SONDERZAHLUNGEN!$H$9:$H$128,"OK",SONDERZAHLUNGEN!$F$9:$F$128,"Ja")))</x:f>
      </x:c>
      <x:c r="H102" s="88" t="str">
        <x:f>IF(C102="","",MIN(MAX(0,D102+E102-F102-G102),MAX(0,IF(MONATSBUDGET!$C$12="",0,MONATSBUDGET!$C$12)-SUM(F100:F119)-SUM(H100:H101))))</x:f>
      </x:c>
      <x:c r="I102" s="88" t="str">
        <x:f>IF(C102="","",MAX(0,ROUND(D102+E102-F102-G102-H102,2)))</x:f>
      </x:c>
      <x:c r="J102" s="88" t="str">
        <x:f>IF(C102="","",F102+G102+H102)</x:f>
      </x:c>
      <x:c r="K102" s="88" t="str">
        <x:f>IF(C102="","",MAX(0,SUMIFS(SONDERZAHLUNGEN!$E$9:$E$128,SONDERZAHLUNGEN!$B$9:$B$128,C102,SONDERZAHLUNGEN!$C$9:$C$128,A102,SONDERZAHLUNGEN!$H$9:$H$128,"OK",SONDERZAHLUNGEN!$F$9:$F$128,"Ja")-G102))</x:f>
      </x:c>
    </x:row>
    <x:row r="103" ht="19" customHeight="1">
      <x:c r="A103" s="90" t="n">
        <x:f>MONATSBUDGET!$A$12</x:f>
        <x:v>46357</x:v>
      </x:c>
      <x:c r="B103" t="n">
        <x:f>4</x:f>
        <x:v>4</x:v>
      </x:c>
      <x:c r="C103" t="str">
        <x:f>IF($N$12="","",$N$12)</x:f>
      </x:c>
      <x:c r="D103" s="88" t="str">
        <x:f>IF(C103="","",I83)</x:f>
      </x:c>
      <x:c r="E103" s="88" t="str">
        <x:f>IF(C103="","",ROUND(D103*$P$12/12,2))</x:f>
      </x:c>
      <x:c r="F103" s="88" t="str">
        <x:f>IF(C103="","",MIN(D103+E103,$Q$12))</x:f>
      </x:c>
      <x:c r="G103" s="88" t="str">
        <x:f>IF(C103="","",MIN(MAX(0,D103+E103-F103),SUMIFS(SONDERZAHLUNGEN!$E$9:$E$128,SONDERZAHLUNGEN!$B$9:$B$128,C103,SONDERZAHLUNGEN!$C$9:$C$128,A103,SONDERZAHLUNGEN!$H$9:$H$128,"OK",SONDERZAHLUNGEN!$F$9:$F$128,"Ja")))</x:f>
      </x:c>
      <x:c r="H103" s="88" t="str">
        <x:f>IF(C103="","",MIN(MAX(0,D103+E103-F103-G103),MAX(0,IF(MONATSBUDGET!$C$12="",0,MONATSBUDGET!$C$12)-SUM(F100:F119)-SUM(H100:H102))))</x:f>
      </x:c>
      <x:c r="I103" s="88" t="str">
        <x:f>IF(C103="","",MAX(0,ROUND(D103+E103-F103-G103-H103,2)))</x:f>
      </x:c>
      <x:c r="J103" s="88" t="str">
        <x:f>IF(C103="","",F103+G103+H103)</x:f>
      </x:c>
      <x:c r="K103" s="88" t="str">
        <x:f>IF(C103="","",MAX(0,SUMIFS(SONDERZAHLUNGEN!$E$9:$E$128,SONDERZAHLUNGEN!$B$9:$B$128,C103,SONDERZAHLUNGEN!$C$9:$C$128,A103,SONDERZAHLUNGEN!$H$9:$H$128,"OK",SONDERZAHLUNGEN!$F$9:$F$128,"Ja")-G103))</x:f>
      </x:c>
    </x:row>
    <x:row r="104" ht="19" customHeight="1">
      <x:c r="A104" s="90" t="n">
        <x:f>MONATSBUDGET!$A$12</x:f>
        <x:v>46357</x:v>
      </x:c>
      <x:c r="B104" t="n">
        <x:f>5</x:f>
        <x:v>5</x:v>
      </x:c>
      <x:c r="C104" t="str">
        <x:f>IF($N$13="","",$N$13)</x:f>
      </x:c>
      <x:c r="D104" s="88" t="str">
        <x:f>IF(C104="","",I84)</x:f>
      </x:c>
      <x:c r="E104" s="88" t="str">
        <x:f>IF(C104="","",ROUND(D104*$P$13/12,2))</x:f>
      </x:c>
      <x:c r="F104" s="88" t="str">
        <x:f>IF(C104="","",MIN(D104+E104,$Q$13))</x:f>
      </x:c>
      <x:c r="G104" s="88" t="str">
        <x:f>IF(C104="","",MIN(MAX(0,D104+E104-F104),SUMIFS(SONDERZAHLUNGEN!$E$9:$E$128,SONDERZAHLUNGEN!$B$9:$B$128,C104,SONDERZAHLUNGEN!$C$9:$C$128,A104,SONDERZAHLUNGEN!$H$9:$H$128,"OK",SONDERZAHLUNGEN!$F$9:$F$128,"Ja")))</x:f>
      </x:c>
      <x:c r="H104" s="88" t="str">
        <x:f>IF(C104="","",MIN(MAX(0,D104+E104-F104-G104),MAX(0,IF(MONATSBUDGET!$C$12="",0,MONATSBUDGET!$C$12)-SUM(F100:F119)-SUM(H100:H103))))</x:f>
      </x:c>
      <x:c r="I104" s="88" t="str">
        <x:f>IF(C104="","",MAX(0,ROUND(D104+E104-F104-G104-H104,2)))</x:f>
      </x:c>
      <x:c r="J104" s="88" t="str">
        <x:f>IF(C104="","",F104+G104+H104)</x:f>
      </x:c>
      <x:c r="K104" s="88" t="str">
        <x:f>IF(C104="","",MAX(0,SUMIFS(SONDERZAHLUNGEN!$E$9:$E$128,SONDERZAHLUNGEN!$B$9:$B$128,C104,SONDERZAHLUNGEN!$C$9:$C$128,A104,SONDERZAHLUNGEN!$H$9:$H$128,"OK",SONDERZAHLUNGEN!$F$9:$F$128,"Ja")-G104))</x:f>
      </x:c>
    </x:row>
    <x:row r="105" ht="19" customHeight="1">
      <x:c r="A105" s="90" t="n">
        <x:f>MONATSBUDGET!$A$12</x:f>
        <x:v>46357</x:v>
      </x:c>
      <x:c r="B105" t="n">
        <x:f>6</x:f>
        <x:v>6</x:v>
      </x:c>
      <x:c r="C105" t="str">
        <x:f>IF($N$14="","",$N$14)</x:f>
      </x:c>
      <x:c r="D105" s="88" t="str">
        <x:f>IF(C105="","",I85)</x:f>
      </x:c>
      <x:c r="E105" s="88" t="str">
        <x:f>IF(C105="","",ROUND(D105*$P$14/12,2))</x:f>
      </x:c>
      <x:c r="F105" s="88" t="str">
        <x:f>IF(C105="","",MIN(D105+E105,$Q$14))</x:f>
      </x:c>
      <x:c r="G105" s="88" t="str">
        <x:f>IF(C105="","",MIN(MAX(0,D105+E105-F105),SUMIFS(SONDERZAHLUNGEN!$E$9:$E$128,SONDERZAHLUNGEN!$B$9:$B$128,C105,SONDERZAHLUNGEN!$C$9:$C$128,A105,SONDERZAHLUNGEN!$H$9:$H$128,"OK",SONDERZAHLUNGEN!$F$9:$F$128,"Ja")))</x:f>
      </x:c>
      <x:c r="H105" s="88" t="str">
        <x:f>IF(C105="","",MIN(MAX(0,D105+E105-F105-G105),MAX(0,IF(MONATSBUDGET!$C$12="",0,MONATSBUDGET!$C$12)-SUM(F100:F119)-SUM(H100:H104))))</x:f>
      </x:c>
      <x:c r="I105" s="88" t="str">
        <x:f>IF(C105="","",MAX(0,ROUND(D105+E105-F105-G105-H105,2)))</x:f>
      </x:c>
      <x:c r="J105" s="88" t="str">
        <x:f>IF(C105="","",F105+G105+H105)</x:f>
      </x:c>
      <x:c r="K105" s="88" t="str">
        <x:f>IF(C105="","",MAX(0,SUMIFS(SONDERZAHLUNGEN!$E$9:$E$128,SONDERZAHLUNGEN!$B$9:$B$128,C105,SONDERZAHLUNGEN!$C$9:$C$128,A105,SONDERZAHLUNGEN!$H$9:$H$128,"OK",SONDERZAHLUNGEN!$F$9:$F$128,"Ja")-G105))</x:f>
      </x:c>
    </x:row>
    <x:row r="106" ht="19" customHeight="1">
      <x:c r="A106" s="90" t="n">
        <x:f>MONATSBUDGET!$A$12</x:f>
        <x:v>46357</x:v>
      </x:c>
      <x:c r="B106" t="n">
        <x:f>7</x:f>
        <x:v>7</x:v>
      </x:c>
      <x:c r="C106" t="str">
        <x:f>IF($N$15="","",$N$15)</x:f>
      </x:c>
      <x:c r="D106" s="88" t="str">
        <x:f>IF(C106="","",I86)</x:f>
      </x:c>
      <x:c r="E106" s="88" t="str">
        <x:f>IF(C106="","",ROUND(D106*$P$15/12,2))</x:f>
      </x:c>
      <x:c r="F106" s="88" t="str">
        <x:f>IF(C106="","",MIN(D106+E106,$Q$15))</x:f>
      </x:c>
      <x:c r="G106" s="88" t="str">
        <x:f>IF(C106="","",MIN(MAX(0,D106+E106-F106),SUMIFS(SONDERZAHLUNGEN!$E$9:$E$128,SONDERZAHLUNGEN!$B$9:$B$128,C106,SONDERZAHLUNGEN!$C$9:$C$128,A106,SONDERZAHLUNGEN!$H$9:$H$128,"OK",SONDERZAHLUNGEN!$F$9:$F$128,"Ja")))</x:f>
      </x:c>
      <x:c r="H106" s="88" t="str">
        <x:f>IF(C106="","",MIN(MAX(0,D106+E106-F106-G106),MAX(0,IF(MONATSBUDGET!$C$12="",0,MONATSBUDGET!$C$12)-SUM(F100:F119)-SUM(H100:H105))))</x:f>
      </x:c>
      <x:c r="I106" s="88" t="str">
        <x:f>IF(C106="","",MAX(0,ROUND(D106+E106-F106-G106-H106,2)))</x:f>
      </x:c>
      <x:c r="J106" s="88" t="str">
        <x:f>IF(C106="","",F106+G106+H106)</x:f>
      </x:c>
      <x:c r="K106" s="88" t="str">
        <x:f>IF(C106="","",MAX(0,SUMIFS(SONDERZAHLUNGEN!$E$9:$E$128,SONDERZAHLUNGEN!$B$9:$B$128,C106,SONDERZAHLUNGEN!$C$9:$C$128,A106,SONDERZAHLUNGEN!$H$9:$H$128,"OK",SONDERZAHLUNGEN!$F$9:$F$128,"Ja")-G106))</x:f>
      </x:c>
    </x:row>
    <x:row r="107" ht="19" customHeight="1">
      <x:c r="A107" s="90" t="n">
        <x:f>MONATSBUDGET!$A$12</x:f>
        <x:v>46357</x:v>
      </x:c>
      <x:c r="B107" t="n">
        <x:f>8</x:f>
        <x:v>8</x:v>
      </x:c>
      <x:c r="C107" t="str">
        <x:f>IF($N$16="","",$N$16)</x:f>
      </x:c>
      <x:c r="D107" s="88" t="str">
        <x:f>IF(C107="","",I87)</x:f>
      </x:c>
      <x:c r="E107" s="88" t="str">
        <x:f>IF(C107="","",ROUND(D107*$P$16/12,2))</x:f>
      </x:c>
      <x:c r="F107" s="88" t="str">
        <x:f>IF(C107="","",MIN(D107+E107,$Q$16))</x:f>
      </x:c>
      <x:c r="G107" s="88" t="str">
        <x:f>IF(C107="","",MIN(MAX(0,D107+E107-F107),SUMIFS(SONDERZAHLUNGEN!$E$9:$E$128,SONDERZAHLUNGEN!$B$9:$B$128,C107,SONDERZAHLUNGEN!$C$9:$C$128,A107,SONDERZAHLUNGEN!$H$9:$H$128,"OK",SONDERZAHLUNGEN!$F$9:$F$128,"Ja")))</x:f>
      </x:c>
      <x:c r="H107" s="88" t="str">
        <x:f>IF(C107="","",MIN(MAX(0,D107+E107-F107-G107),MAX(0,IF(MONATSBUDGET!$C$12="",0,MONATSBUDGET!$C$12)-SUM(F100:F119)-SUM(H100:H106))))</x:f>
      </x:c>
      <x:c r="I107" s="88" t="str">
        <x:f>IF(C107="","",MAX(0,ROUND(D107+E107-F107-G107-H107,2)))</x:f>
      </x:c>
      <x:c r="J107" s="88" t="str">
        <x:f>IF(C107="","",F107+G107+H107)</x:f>
      </x:c>
      <x:c r="K107" s="88" t="str">
        <x:f>IF(C107="","",MAX(0,SUMIFS(SONDERZAHLUNGEN!$E$9:$E$128,SONDERZAHLUNGEN!$B$9:$B$128,C107,SONDERZAHLUNGEN!$C$9:$C$128,A107,SONDERZAHLUNGEN!$H$9:$H$128,"OK",SONDERZAHLUNGEN!$F$9:$F$128,"Ja")-G107))</x:f>
      </x:c>
    </x:row>
    <x:row r="108" ht="19" customHeight="1">
      <x:c r="A108" s="90" t="n">
        <x:f>MONATSBUDGET!$A$12</x:f>
        <x:v>46357</x:v>
      </x:c>
      <x:c r="B108" t="n">
        <x:f>9</x:f>
        <x:v>9</x:v>
      </x:c>
      <x:c r="C108" t="str">
        <x:f>IF($N$17="","",$N$17)</x:f>
      </x:c>
      <x:c r="D108" s="88" t="str">
        <x:f>IF(C108="","",I88)</x:f>
      </x:c>
      <x:c r="E108" s="88" t="str">
        <x:f>IF(C108="","",ROUND(D108*$P$17/12,2))</x:f>
      </x:c>
      <x:c r="F108" s="88" t="str">
        <x:f>IF(C108="","",MIN(D108+E108,$Q$17))</x:f>
      </x:c>
      <x:c r="G108" s="88" t="str">
        <x:f>IF(C108="","",MIN(MAX(0,D108+E108-F108),SUMIFS(SONDERZAHLUNGEN!$E$9:$E$128,SONDERZAHLUNGEN!$B$9:$B$128,C108,SONDERZAHLUNGEN!$C$9:$C$128,A108,SONDERZAHLUNGEN!$H$9:$H$128,"OK",SONDERZAHLUNGEN!$F$9:$F$128,"Ja")))</x:f>
      </x:c>
      <x:c r="H108" s="88" t="str">
        <x:f>IF(C108="","",MIN(MAX(0,D108+E108-F108-G108),MAX(0,IF(MONATSBUDGET!$C$12="",0,MONATSBUDGET!$C$12)-SUM(F100:F119)-SUM(H100:H107))))</x:f>
      </x:c>
      <x:c r="I108" s="88" t="str">
        <x:f>IF(C108="","",MAX(0,ROUND(D108+E108-F108-G108-H108,2)))</x:f>
      </x:c>
      <x:c r="J108" s="88" t="str">
        <x:f>IF(C108="","",F108+G108+H108)</x:f>
      </x:c>
      <x:c r="K108" s="88" t="str">
        <x:f>IF(C108="","",MAX(0,SUMIFS(SONDERZAHLUNGEN!$E$9:$E$128,SONDERZAHLUNGEN!$B$9:$B$128,C108,SONDERZAHLUNGEN!$C$9:$C$128,A108,SONDERZAHLUNGEN!$H$9:$H$128,"OK",SONDERZAHLUNGEN!$F$9:$F$128,"Ja")-G108))</x:f>
      </x:c>
    </x:row>
    <x:row r="109" ht="19" customHeight="1">
      <x:c r="A109" s="90" t="n">
        <x:f>MONATSBUDGET!$A$12</x:f>
        <x:v>46357</x:v>
      </x:c>
      <x:c r="B109" t="n">
        <x:f>10</x:f>
        <x:v>10</x:v>
      </x:c>
      <x:c r="C109" t="str">
        <x:f>IF($N$18="","",$N$18)</x:f>
      </x:c>
      <x:c r="D109" s="88" t="str">
        <x:f>IF(C109="","",I89)</x:f>
      </x:c>
      <x:c r="E109" s="88" t="str">
        <x:f>IF(C109="","",ROUND(D109*$P$18/12,2))</x:f>
      </x:c>
      <x:c r="F109" s="88" t="str">
        <x:f>IF(C109="","",MIN(D109+E109,$Q$18))</x:f>
      </x:c>
      <x:c r="G109" s="88" t="str">
        <x:f>IF(C109="","",MIN(MAX(0,D109+E109-F109),SUMIFS(SONDERZAHLUNGEN!$E$9:$E$128,SONDERZAHLUNGEN!$B$9:$B$128,C109,SONDERZAHLUNGEN!$C$9:$C$128,A109,SONDERZAHLUNGEN!$H$9:$H$128,"OK",SONDERZAHLUNGEN!$F$9:$F$128,"Ja")))</x:f>
      </x:c>
      <x:c r="H109" s="88" t="str">
        <x:f>IF(C109="","",MIN(MAX(0,D109+E109-F109-G109),MAX(0,IF(MONATSBUDGET!$C$12="",0,MONATSBUDGET!$C$12)-SUM(F100:F119)-SUM(H100:H108))))</x:f>
      </x:c>
      <x:c r="I109" s="88" t="str">
        <x:f>IF(C109="","",MAX(0,ROUND(D109+E109-F109-G109-H109,2)))</x:f>
      </x:c>
      <x:c r="J109" s="88" t="str">
        <x:f>IF(C109="","",F109+G109+H109)</x:f>
      </x:c>
      <x:c r="K109" s="88" t="str">
        <x:f>IF(C109="","",MAX(0,SUMIFS(SONDERZAHLUNGEN!$E$9:$E$128,SONDERZAHLUNGEN!$B$9:$B$128,C109,SONDERZAHLUNGEN!$C$9:$C$128,A109,SONDERZAHLUNGEN!$H$9:$H$128,"OK",SONDERZAHLUNGEN!$F$9:$F$128,"Ja")-G109))</x:f>
      </x:c>
    </x:row>
    <x:row r="110" ht="19" customHeight="1">
      <x:c r="A110" s="90" t="n">
        <x:f>MONATSBUDGET!$A$12</x:f>
        <x:v>46357</x:v>
      </x:c>
      <x:c r="B110" t="n">
        <x:f>11</x:f>
        <x:v>11</x:v>
      </x:c>
      <x:c r="C110" t="str">
        <x:f>IF($N$19="","",$N$19)</x:f>
      </x:c>
      <x:c r="D110" s="88" t="str">
        <x:f>IF(C110="","",I90)</x:f>
      </x:c>
      <x:c r="E110" s="88" t="str">
        <x:f>IF(C110="","",ROUND(D110*$P$19/12,2))</x:f>
      </x:c>
      <x:c r="F110" s="88" t="str">
        <x:f>IF(C110="","",MIN(D110+E110,$Q$19))</x:f>
      </x:c>
      <x:c r="G110" s="88" t="str">
        <x:f>IF(C110="","",MIN(MAX(0,D110+E110-F110),SUMIFS(SONDERZAHLUNGEN!$E$9:$E$128,SONDERZAHLUNGEN!$B$9:$B$128,C110,SONDERZAHLUNGEN!$C$9:$C$128,A110,SONDERZAHLUNGEN!$H$9:$H$128,"OK",SONDERZAHLUNGEN!$F$9:$F$128,"Ja")))</x:f>
      </x:c>
      <x:c r="H110" s="88" t="str">
        <x:f>IF(C110="","",MIN(MAX(0,D110+E110-F110-G110),MAX(0,IF(MONATSBUDGET!$C$12="",0,MONATSBUDGET!$C$12)-SUM(F100:F119)-SUM(H100:H109))))</x:f>
      </x:c>
      <x:c r="I110" s="88" t="str">
        <x:f>IF(C110="","",MAX(0,ROUND(D110+E110-F110-G110-H110,2)))</x:f>
      </x:c>
      <x:c r="J110" s="88" t="str">
        <x:f>IF(C110="","",F110+G110+H110)</x:f>
      </x:c>
      <x:c r="K110" s="88" t="str">
        <x:f>IF(C110="","",MAX(0,SUMIFS(SONDERZAHLUNGEN!$E$9:$E$128,SONDERZAHLUNGEN!$B$9:$B$128,C110,SONDERZAHLUNGEN!$C$9:$C$128,A110,SONDERZAHLUNGEN!$H$9:$H$128,"OK",SONDERZAHLUNGEN!$F$9:$F$128,"Ja")-G110))</x:f>
      </x:c>
    </x:row>
    <x:row r="111" ht="19" customHeight="1">
      <x:c r="A111" s="90" t="n">
        <x:f>MONATSBUDGET!$A$12</x:f>
        <x:v>46357</x:v>
      </x:c>
      <x:c r="B111" t="n">
        <x:f>12</x:f>
        <x:v>12</x:v>
      </x:c>
      <x:c r="C111" t="str">
        <x:f>IF($N$20="","",$N$20)</x:f>
      </x:c>
      <x:c r="D111" s="88" t="str">
        <x:f>IF(C111="","",I91)</x:f>
      </x:c>
      <x:c r="E111" s="88" t="str">
        <x:f>IF(C111="","",ROUND(D111*$P$20/12,2))</x:f>
      </x:c>
      <x:c r="F111" s="88" t="str">
        <x:f>IF(C111="","",MIN(D111+E111,$Q$20))</x:f>
      </x:c>
      <x:c r="G111" s="88" t="str">
        <x:f>IF(C111="","",MIN(MAX(0,D111+E111-F111),SUMIFS(SONDERZAHLUNGEN!$E$9:$E$128,SONDERZAHLUNGEN!$B$9:$B$128,C111,SONDERZAHLUNGEN!$C$9:$C$128,A111,SONDERZAHLUNGEN!$H$9:$H$128,"OK",SONDERZAHLUNGEN!$F$9:$F$128,"Ja")))</x:f>
      </x:c>
      <x:c r="H111" s="88" t="str">
        <x:f>IF(C111="","",MIN(MAX(0,D111+E111-F111-G111),MAX(0,IF(MONATSBUDGET!$C$12="",0,MONATSBUDGET!$C$12)-SUM(F100:F119)-SUM(H100:H110))))</x:f>
      </x:c>
      <x:c r="I111" s="88" t="str">
        <x:f>IF(C111="","",MAX(0,ROUND(D111+E111-F111-G111-H111,2)))</x:f>
      </x:c>
      <x:c r="J111" s="88" t="str">
        <x:f>IF(C111="","",F111+G111+H111)</x:f>
      </x:c>
      <x:c r="K111" s="88" t="str">
        <x:f>IF(C111="","",MAX(0,SUMIFS(SONDERZAHLUNGEN!$E$9:$E$128,SONDERZAHLUNGEN!$B$9:$B$128,C111,SONDERZAHLUNGEN!$C$9:$C$128,A111,SONDERZAHLUNGEN!$H$9:$H$128,"OK",SONDERZAHLUNGEN!$F$9:$F$128,"Ja")-G111))</x:f>
      </x:c>
    </x:row>
    <x:row r="112" ht="19" customHeight="1">
      <x:c r="A112" s="90" t="n">
        <x:f>MONATSBUDGET!$A$12</x:f>
        <x:v>46357</x:v>
      </x:c>
      <x:c r="B112" t="n">
        <x:f>13</x:f>
        <x:v>13</x:v>
      </x:c>
      <x:c r="C112" t="str">
        <x:f>IF($N$21="","",$N$21)</x:f>
      </x:c>
      <x:c r="D112" s="88" t="str">
        <x:f>IF(C112="","",I92)</x:f>
      </x:c>
      <x:c r="E112" s="88" t="str">
        <x:f>IF(C112="","",ROUND(D112*$P$21/12,2))</x:f>
      </x:c>
      <x:c r="F112" s="88" t="str">
        <x:f>IF(C112="","",MIN(D112+E112,$Q$21))</x:f>
      </x:c>
      <x:c r="G112" s="88" t="str">
        <x:f>IF(C112="","",MIN(MAX(0,D112+E112-F112),SUMIFS(SONDERZAHLUNGEN!$E$9:$E$128,SONDERZAHLUNGEN!$B$9:$B$128,C112,SONDERZAHLUNGEN!$C$9:$C$128,A112,SONDERZAHLUNGEN!$H$9:$H$128,"OK",SONDERZAHLUNGEN!$F$9:$F$128,"Ja")))</x:f>
      </x:c>
      <x:c r="H112" s="88" t="str">
        <x:f>IF(C112="","",MIN(MAX(0,D112+E112-F112-G112),MAX(0,IF(MONATSBUDGET!$C$12="",0,MONATSBUDGET!$C$12)-SUM(F100:F119)-SUM(H100:H111))))</x:f>
      </x:c>
      <x:c r="I112" s="88" t="str">
        <x:f>IF(C112="","",MAX(0,ROUND(D112+E112-F112-G112-H112,2)))</x:f>
      </x:c>
      <x:c r="J112" s="88" t="str">
        <x:f>IF(C112="","",F112+G112+H112)</x:f>
      </x:c>
      <x:c r="K112" s="88" t="str">
        <x:f>IF(C112="","",MAX(0,SUMIFS(SONDERZAHLUNGEN!$E$9:$E$128,SONDERZAHLUNGEN!$B$9:$B$128,C112,SONDERZAHLUNGEN!$C$9:$C$128,A112,SONDERZAHLUNGEN!$H$9:$H$128,"OK",SONDERZAHLUNGEN!$F$9:$F$128,"Ja")-G112))</x:f>
      </x:c>
    </x:row>
    <x:row r="113" ht="19" customHeight="1">
      <x:c r="A113" s="90" t="n">
        <x:f>MONATSBUDGET!$A$12</x:f>
        <x:v>46357</x:v>
      </x:c>
      <x:c r="B113" t="n">
        <x:f>14</x:f>
        <x:v>14</x:v>
      </x:c>
      <x:c r="C113" t="str">
        <x:f>IF($N$22="","",$N$22)</x:f>
      </x:c>
      <x:c r="D113" s="88" t="str">
        <x:f>IF(C113="","",I93)</x:f>
      </x:c>
      <x:c r="E113" s="88" t="str">
        <x:f>IF(C113="","",ROUND(D113*$P$22/12,2))</x:f>
      </x:c>
      <x:c r="F113" s="88" t="str">
        <x:f>IF(C113="","",MIN(D113+E113,$Q$22))</x:f>
      </x:c>
      <x:c r="G113" s="88" t="str">
        <x:f>IF(C113="","",MIN(MAX(0,D113+E113-F113),SUMIFS(SONDERZAHLUNGEN!$E$9:$E$128,SONDERZAHLUNGEN!$B$9:$B$128,C113,SONDERZAHLUNGEN!$C$9:$C$128,A113,SONDERZAHLUNGEN!$H$9:$H$128,"OK",SONDERZAHLUNGEN!$F$9:$F$128,"Ja")))</x:f>
      </x:c>
      <x:c r="H113" s="88" t="str">
        <x:f>IF(C113="","",MIN(MAX(0,D113+E113-F113-G113),MAX(0,IF(MONATSBUDGET!$C$12="",0,MONATSBUDGET!$C$12)-SUM(F100:F119)-SUM(H100:H112))))</x:f>
      </x:c>
      <x:c r="I113" s="88" t="str">
        <x:f>IF(C113="","",MAX(0,ROUND(D113+E113-F113-G113-H113,2)))</x:f>
      </x:c>
      <x:c r="J113" s="88" t="str">
        <x:f>IF(C113="","",F113+G113+H113)</x:f>
      </x:c>
      <x:c r="K113" s="88" t="str">
        <x:f>IF(C113="","",MAX(0,SUMIFS(SONDERZAHLUNGEN!$E$9:$E$128,SONDERZAHLUNGEN!$B$9:$B$128,C113,SONDERZAHLUNGEN!$C$9:$C$128,A113,SONDERZAHLUNGEN!$H$9:$H$128,"OK",SONDERZAHLUNGEN!$F$9:$F$128,"Ja")-G113))</x:f>
      </x:c>
    </x:row>
    <x:row r="114" ht="19" customHeight="1">
      <x:c r="A114" s="90" t="n">
        <x:f>MONATSBUDGET!$A$12</x:f>
        <x:v>46357</x:v>
      </x:c>
      <x:c r="B114" t="n">
        <x:f>15</x:f>
        <x:v>15</x:v>
      </x:c>
      <x:c r="C114" t="str">
        <x:f>IF($N$23="","",$N$23)</x:f>
      </x:c>
      <x:c r="D114" s="88" t="str">
        <x:f>IF(C114="","",I94)</x:f>
      </x:c>
      <x:c r="E114" s="88" t="str">
        <x:f>IF(C114="","",ROUND(D114*$P$23/12,2))</x:f>
      </x:c>
      <x:c r="F114" s="88" t="str">
        <x:f>IF(C114="","",MIN(D114+E114,$Q$23))</x:f>
      </x:c>
      <x:c r="G114" s="88" t="str">
        <x:f>IF(C114="","",MIN(MAX(0,D114+E114-F114),SUMIFS(SONDERZAHLUNGEN!$E$9:$E$128,SONDERZAHLUNGEN!$B$9:$B$128,C114,SONDERZAHLUNGEN!$C$9:$C$128,A114,SONDERZAHLUNGEN!$H$9:$H$128,"OK",SONDERZAHLUNGEN!$F$9:$F$128,"Ja")))</x:f>
      </x:c>
      <x:c r="H114" s="88" t="str">
        <x:f>IF(C114="","",MIN(MAX(0,D114+E114-F114-G114),MAX(0,IF(MONATSBUDGET!$C$12="",0,MONATSBUDGET!$C$12)-SUM(F100:F119)-SUM(H100:H113))))</x:f>
      </x:c>
      <x:c r="I114" s="88" t="str">
        <x:f>IF(C114="","",MAX(0,ROUND(D114+E114-F114-G114-H114,2)))</x:f>
      </x:c>
      <x:c r="J114" s="88" t="str">
        <x:f>IF(C114="","",F114+G114+H114)</x:f>
      </x:c>
      <x:c r="K114" s="88" t="str">
        <x:f>IF(C114="","",MAX(0,SUMIFS(SONDERZAHLUNGEN!$E$9:$E$128,SONDERZAHLUNGEN!$B$9:$B$128,C114,SONDERZAHLUNGEN!$C$9:$C$128,A114,SONDERZAHLUNGEN!$H$9:$H$128,"OK",SONDERZAHLUNGEN!$F$9:$F$128,"Ja")-G114))</x:f>
      </x:c>
    </x:row>
    <x:row r="115" ht="19" customHeight="1">
      <x:c r="A115" s="90" t="n">
        <x:f>MONATSBUDGET!$A$12</x:f>
        <x:v>46357</x:v>
      </x:c>
      <x:c r="B115" t="n">
        <x:f>16</x:f>
        <x:v>16</x:v>
      </x:c>
      <x:c r="C115" t="str">
        <x:f>IF($N$24="","",$N$24)</x:f>
      </x:c>
      <x:c r="D115" s="88" t="str">
        <x:f>IF(C115="","",I95)</x:f>
      </x:c>
      <x:c r="E115" s="88" t="str">
        <x:f>IF(C115="","",ROUND(D115*$P$24/12,2))</x:f>
      </x:c>
      <x:c r="F115" s="88" t="str">
        <x:f>IF(C115="","",MIN(D115+E115,$Q$24))</x:f>
      </x:c>
      <x:c r="G115" s="88" t="str">
        <x:f>IF(C115="","",MIN(MAX(0,D115+E115-F115),SUMIFS(SONDERZAHLUNGEN!$E$9:$E$128,SONDERZAHLUNGEN!$B$9:$B$128,C115,SONDERZAHLUNGEN!$C$9:$C$128,A115,SONDERZAHLUNGEN!$H$9:$H$128,"OK",SONDERZAHLUNGEN!$F$9:$F$128,"Ja")))</x:f>
      </x:c>
      <x:c r="H115" s="88" t="str">
        <x:f>IF(C115="","",MIN(MAX(0,D115+E115-F115-G115),MAX(0,IF(MONATSBUDGET!$C$12="",0,MONATSBUDGET!$C$12)-SUM(F100:F119)-SUM(H100:H114))))</x:f>
      </x:c>
      <x:c r="I115" s="88" t="str">
        <x:f>IF(C115="","",MAX(0,ROUND(D115+E115-F115-G115-H115,2)))</x:f>
      </x:c>
      <x:c r="J115" s="88" t="str">
        <x:f>IF(C115="","",F115+G115+H115)</x:f>
      </x:c>
      <x:c r="K115" s="88" t="str">
        <x:f>IF(C115="","",MAX(0,SUMIFS(SONDERZAHLUNGEN!$E$9:$E$128,SONDERZAHLUNGEN!$B$9:$B$128,C115,SONDERZAHLUNGEN!$C$9:$C$128,A115,SONDERZAHLUNGEN!$H$9:$H$128,"OK",SONDERZAHLUNGEN!$F$9:$F$128,"Ja")-G115))</x:f>
      </x:c>
    </x:row>
    <x:row r="116" ht="19" customHeight="1">
      <x:c r="A116" s="90" t="n">
        <x:f>MONATSBUDGET!$A$12</x:f>
        <x:v>46357</x:v>
      </x:c>
      <x:c r="B116" t="n">
        <x:f>17</x:f>
        <x:v>17</x:v>
      </x:c>
      <x:c r="C116" t="str">
        <x:f>IF($N$25="","",$N$25)</x:f>
      </x:c>
      <x:c r="D116" s="88" t="str">
        <x:f>IF(C116="","",I96)</x:f>
      </x:c>
      <x:c r="E116" s="88" t="str">
        <x:f>IF(C116="","",ROUND(D116*$P$25/12,2))</x:f>
      </x:c>
      <x:c r="F116" s="88" t="str">
        <x:f>IF(C116="","",MIN(D116+E116,$Q$25))</x:f>
      </x:c>
      <x:c r="G116" s="88" t="str">
        <x:f>IF(C116="","",MIN(MAX(0,D116+E116-F116),SUMIFS(SONDERZAHLUNGEN!$E$9:$E$128,SONDERZAHLUNGEN!$B$9:$B$128,C116,SONDERZAHLUNGEN!$C$9:$C$128,A116,SONDERZAHLUNGEN!$H$9:$H$128,"OK",SONDERZAHLUNGEN!$F$9:$F$128,"Ja")))</x:f>
      </x:c>
      <x:c r="H116" s="88" t="str">
        <x:f>IF(C116="","",MIN(MAX(0,D116+E116-F116-G116),MAX(0,IF(MONATSBUDGET!$C$12="",0,MONATSBUDGET!$C$12)-SUM(F100:F119)-SUM(H100:H115))))</x:f>
      </x:c>
      <x:c r="I116" s="88" t="str">
        <x:f>IF(C116="","",MAX(0,ROUND(D116+E116-F116-G116-H116,2)))</x:f>
      </x:c>
      <x:c r="J116" s="88" t="str">
        <x:f>IF(C116="","",F116+G116+H116)</x:f>
      </x:c>
      <x:c r="K116" s="88" t="str">
        <x:f>IF(C116="","",MAX(0,SUMIFS(SONDERZAHLUNGEN!$E$9:$E$128,SONDERZAHLUNGEN!$B$9:$B$128,C116,SONDERZAHLUNGEN!$C$9:$C$128,A116,SONDERZAHLUNGEN!$H$9:$H$128,"OK",SONDERZAHLUNGEN!$F$9:$F$128,"Ja")-G116))</x:f>
      </x:c>
    </x:row>
    <x:row r="117" ht="19" customHeight="1">
      <x:c r="A117" s="90" t="n">
        <x:f>MONATSBUDGET!$A$12</x:f>
        <x:v>46357</x:v>
      </x:c>
      <x:c r="B117" t="n">
        <x:f>18</x:f>
        <x:v>18</x:v>
      </x:c>
      <x:c r="C117" t="str">
        <x:f>IF($N$26="","",$N$26)</x:f>
      </x:c>
      <x:c r="D117" s="88" t="str">
        <x:f>IF(C117="","",I97)</x:f>
      </x:c>
      <x:c r="E117" s="88" t="str">
        <x:f>IF(C117="","",ROUND(D117*$P$26/12,2))</x:f>
      </x:c>
      <x:c r="F117" s="88" t="str">
        <x:f>IF(C117="","",MIN(D117+E117,$Q$26))</x:f>
      </x:c>
      <x:c r="G117" s="88" t="str">
        <x:f>IF(C117="","",MIN(MAX(0,D117+E117-F117),SUMIFS(SONDERZAHLUNGEN!$E$9:$E$128,SONDERZAHLUNGEN!$B$9:$B$128,C117,SONDERZAHLUNGEN!$C$9:$C$128,A117,SONDERZAHLUNGEN!$H$9:$H$128,"OK",SONDERZAHLUNGEN!$F$9:$F$128,"Ja")))</x:f>
      </x:c>
      <x:c r="H117" s="88" t="str">
        <x:f>IF(C117="","",MIN(MAX(0,D117+E117-F117-G117),MAX(0,IF(MONATSBUDGET!$C$12="",0,MONATSBUDGET!$C$12)-SUM(F100:F119)-SUM(H100:H116))))</x:f>
      </x:c>
      <x:c r="I117" s="88" t="str">
        <x:f>IF(C117="","",MAX(0,ROUND(D117+E117-F117-G117-H117,2)))</x:f>
      </x:c>
      <x:c r="J117" s="88" t="str">
        <x:f>IF(C117="","",F117+G117+H117)</x:f>
      </x:c>
      <x:c r="K117" s="88" t="str">
        <x:f>IF(C117="","",MAX(0,SUMIFS(SONDERZAHLUNGEN!$E$9:$E$128,SONDERZAHLUNGEN!$B$9:$B$128,C117,SONDERZAHLUNGEN!$C$9:$C$128,A117,SONDERZAHLUNGEN!$H$9:$H$128,"OK",SONDERZAHLUNGEN!$F$9:$F$128,"Ja")-G117))</x:f>
      </x:c>
    </x:row>
    <x:row r="118" ht="19" customHeight="1">
      <x:c r="A118" s="90" t="n">
        <x:f>MONATSBUDGET!$A$12</x:f>
        <x:v>46357</x:v>
      </x:c>
      <x:c r="B118" t="n">
        <x:f>19</x:f>
        <x:v>19</x:v>
      </x:c>
      <x:c r="C118" t="str">
        <x:f>IF($N$27="","",$N$27)</x:f>
      </x:c>
      <x:c r="D118" s="88" t="str">
        <x:f>IF(C118="","",I98)</x:f>
      </x:c>
      <x:c r="E118" s="88" t="str">
        <x:f>IF(C118="","",ROUND(D118*$P$27/12,2))</x:f>
      </x:c>
      <x:c r="F118" s="88" t="str">
        <x:f>IF(C118="","",MIN(D118+E118,$Q$27))</x:f>
      </x:c>
      <x:c r="G118" s="88" t="str">
        <x:f>IF(C118="","",MIN(MAX(0,D118+E118-F118),SUMIFS(SONDERZAHLUNGEN!$E$9:$E$128,SONDERZAHLUNGEN!$B$9:$B$128,C118,SONDERZAHLUNGEN!$C$9:$C$128,A118,SONDERZAHLUNGEN!$H$9:$H$128,"OK",SONDERZAHLUNGEN!$F$9:$F$128,"Ja")))</x:f>
      </x:c>
      <x:c r="H118" s="88" t="str">
        <x:f>IF(C118="","",MIN(MAX(0,D118+E118-F118-G118),MAX(0,IF(MONATSBUDGET!$C$12="",0,MONATSBUDGET!$C$12)-SUM(F100:F119)-SUM(H100:H117))))</x:f>
      </x:c>
      <x:c r="I118" s="88" t="str">
        <x:f>IF(C118="","",MAX(0,ROUND(D118+E118-F118-G118-H118,2)))</x:f>
      </x:c>
      <x:c r="J118" s="88" t="str">
        <x:f>IF(C118="","",F118+G118+H118)</x:f>
      </x:c>
      <x:c r="K118" s="88" t="str">
        <x:f>IF(C118="","",MAX(0,SUMIFS(SONDERZAHLUNGEN!$E$9:$E$128,SONDERZAHLUNGEN!$B$9:$B$128,C118,SONDERZAHLUNGEN!$C$9:$C$128,A118,SONDERZAHLUNGEN!$H$9:$H$128,"OK",SONDERZAHLUNGEN!$F$9:$F$128,"Ja")-G118))</x:f>
      </x:c>
    </x:row>
    <x:row r="119" ht="19" customHeight="1">
      <x:c r="A119" s="90" t="n">
        <x:f>MONATSBUDGET!$A$12</x:f>
        <x:v>46357</x:v>
      </x:c>
      <x:c r="B119" t="n">
        <x:f>20</x:f>
        <x:v>20</x:v>
      </x:c>
      <x:c r="C119" t="str">
        <x:f>IF($N$28="","",$N$28)</x:f>
      </x:c>
      <x:c r="D119" s="88" t="str">
        <x:f>IF(C119="","",I99)</x:f>
      </x:c>
      <x:c r="E119" s="88" t="str">
        <x:f>IF(C119="","",ROUND(D119*$P$28/12,2))</x:f>
      </x:c>
      <x:c r="F119" s="88" t="str">
        <x:f>IF(C119="","",MIN(D119+E119,$Q$28))</x:f>
      </x:c>
      <x:c r="G119" s="88" t="str">
        <x:f>IF(C119="","",MIN(MAX(0,D119+E119-F119),SUMIFS(SONDERZAHLUNGEN!$E$9:$E$128,SONDERZAHLUNGEN!$B$9:$B$128,C119,SONDERZAHLUNGEN!$C$9:$C$128,A119,SONDERZAHLUNGEN!$H$9:$H$128,"OK",SONDERZAHLUNGEN!$F$9:$F$128,"Ja")))</x:f>
      </x:c>
      <x:c r="H119" s="88" t="str">
        <x:f>IF(C119="","",MIN(MAX(0,D119+E119-F119-G119),MAX(0,IF(MONATSBUDGET!$C$12="",0,MONATSBUDGET!$C$12)-SUM(F100:F119)-SUM(H100:H118))))</x:f>
      </x:c>
      <x:c r="I119" s="88" t="str">
        <x:f>IF(C119="","",MAX(0,ROUND(D119+E119-F119-G119-H119,2)))</x:f>
      </x:c>
      <x:c r="J119" s="88" t="str">
        <x:f>IF(C119="","",F119+G119+H119)</x:f>
      </x:c>
      <x:c r="K119" s="88" t="str">
        <x:f>IF(C119="","",MAX(0,SUMIFS(SONDERZAHLUNGEN!$E$9:$E$128,SONDERZAHLUNGEN!$B$9:$B$128,C119,SONDERZAHLUNGEN!$C$9:$C$128,A119,SONDERZAHLUNGEN!$H$9:$H$128,"OK",SONDERZAHLUNGEN!$F$9:$F$128,"Ja")-G119))</x:f>
      </x:c>
    </x:row>
    <x:row r="120" ht="19" customHeight="1">
      <x:c r="A120" s="90" t="n">
        <x:f>MONATSBUDGET!$A$13</x:f>
        <x:v>46388</x:v>
      </x:c>
      <x:c r="B120" t="n">
        <x:f>1</x:f>
        <x:v>1</x:v>
      </x:c>
      <x:c r="C120" t="str">
        <x:f>IF($N$9="","",$N$9)</x:f>
      </x:c>
      <x:c r="D120" s="88" t="str">
        <x:f>IF(C120="","",I100)</x:f>
      </x:c>
      <x:c r="E120" s="88" t="str">
        <x:f>IF(C120="","",ROUND(D120*$P$9/12,2))</x:f>
      </x:c>
      <x:c r="F120" s="88" t="str">
        <x:f>IF(C120="","",MIN(D120+E120,$Q$9))</x:f>
      </x:c>
      <x:c r="G120" s="88" t="str">
        <x:f>IF(C120="","",MIN(MAX(0,D120+E120-F120),SUMIFS(SONDERZAHLUNGEN!$E$9:$E$128,SONDERZAHLUNGEN!$B$9:$B$128,C120,SONDERZAHLUNGEN!$C$9:$C$128,A120,SONDERZAHLUNGEN!$H$9:$H$128,"OK",SONDERZAHLUNGEN!$F$9:$F$128,"Ja")))</x:f>
      </x:c>
      <x:c r="H120" s="88" t="str">
        <x:f>IF(C120="","",MIN(MAX(0,D120+E120-F120-G120),MAX(0,IF(MONATSBUDGET!$C$13="",0,MONATSBUDGET!$C$13)-SUM(F120:F139)-0)))</x:f>
      </x:c>
      <x:c r="I120" s="88" t="str">
        <x:f>IF(C120="","",MAX(0,ROUND(D120+E120-F120-G120-H120,2)))</x:f>
      </x:c>
      <x:c r="J120" s="88" t="str">
        <x:f>IF(C120="","",F120+G120+H120)</x:f>
      </x:c>
      <x:c r="K120" s="88" t="str">
        <x:f>IF(C120="","",MAX(0,SUMIFS(SONDERZAHLUNGEN!$E$9:$E$128,SONDERZAHLUNGEN!$B$9:$B$128,C120,SONDERZAHLUNGEN!$C$9:$C$128,A120,SONDERZAHLUNGEN!$H$9:$H$128,"OK",SONDERZAHLUNGEN!$F$9:$F$128,"Ja")-G120))</x:f>
      </x:c>
    </x:row>
    <x:row r="121" ht="19" customHeight="1">
      <x:c r="A121" s="90" t="n">
        <x:f>MONATSBUDGET!$A$13</x:f>
        <x:v>46388</x:v>
      </x:c>
      <x:c r="B121" t="n">
        <x:f>2</x:f>
        <x:v>2</x:v>
      </x:c>
      <x:c r="C121" t="str">
        <x:f>IF($N$10="","",$N$10)</x:f>
      </x:c>
      <x:c r="D121" s="88" t="str">
        <x:f>IF(C121="","",I101)</x:f>
      </x:c>
      <x:c r="E121" s="88" t="str">
        <x:f>IF(C121="","",ROUND(D121*$P$10/12,2))</x:f>
      </x:c>
      <x:c r="F121" s="88" t="str">
        <x:f>IF(C121="","",MIN(D121+E121,$Q$10))</x:f>
      </x:c>
      <x:c r="G121" s="88" t="str">
        <x:f>IF(C121="","",MIN(MAX(0,D121+E121-F121),SUMIFS(SONDERZAHLUNGEN!$E$9:$E$128,SONDERZAHLUNGEN!$B$9:$B$128,C121,SONDERZAHLUNGEN!$C$9:$C$128,A121,SONDERZAHLUNGEN!$H$9:$H$128,"OK",SONDERZAHLUNGEN!$F$9:$F$128,"Ja")))</x:f>
      </x:c>
      <x:c r="H121" s="88" t="str">
        <x:f>IF(C121="","",MIN(MAX(0,D121+E121-F121-G121),MAX(0,IF(MONATSBUDGET!$C$13="",0,MONATSBUDGET!$C$13)-SUM(F120:F139)-SUM(H120:H120))))</x:f>
      </x:c>
      <x:c r="I121" s="88" t="str">
        <x:f>IF(C121="","",MAX(0,ROUND(D121+E121-F121-G121-H121,2)))</x:f>
      </x:c>
      <x:c r="J121" s="88" t="str">
        <x:f>IF(C121="","",F121+G121+H121)</x:f>
      </x:c>
      <x:c r="K121" s="88" t="str">
        <x:f>IF(C121="","",MAX(0,SUMIFS(SONDERZAHLUNGEN!$E$9:$E$128,SONDERZAHLUNGEN!$B$9:$B$128,C121,SONDERZAHLUNGEN!$C$9:$C$128,A121,SONDERZAHLUNGEN!$H$9:$H$128,"OK",SONDERZAHLUNGEN!$F$9:$F$128,"Ja")-G121))</x:f>
      </x:c>
    </x:row>
    <x:row r="122" ht="19" customHeight="1">
      <x:c r="A122" s="90" t="n">
        <x:f>MONATSBUDGET!$A$13</x:f>
        <x:v>46388</x:v>
      </x:c>
      <x:c r="B122" t="n">
        <x:f>3</x:f>
        <x:v>3</x:v>
      </x:c>
      <x:c r="C122" t="str">
        <x:f>IF($N$11="","",$N$11)</x:f>
      </x:c>
      <x:c r="D122" s="88" t="str">
        <x:f>IF(C122="","",I102)</x:f>
      </x:c>
      <x:c r="E122" s="88" t="str">
        <x:f>IF(C122="","",ROUND(D122*$P$11/12,2))</x:f>
      </x:c>
      <x:c r="F122" s="88" t="str">
        <x:f>IF(C122="","",MIN(D122+E122,$Q$11))</x:f>
      </x:c>
      <x:c r="G122" s="88" t="str">
        <x:f>IF(C122="","",MIN(MAX(0,D122+E122-F122),SUMIFS(SONDERZAHLUNGEN!$E$9:$E$128,SONDERZAHLUNGEN!$B$9:$B$128,C122,SONDERZAHLUNGEN!$C$9:$C$128,A122,SONDERZAHLUNGEN!$H$9:$H$128,"OK",SONDERZAHLUNGEN!$F$9:$F$128,"Ja")))</x:f>
      </x:c>
      <x:c r="H122" s="88" t="str">
        <x:f>IF(C122="","",MIN(MAX(0,D122+E122-F122-G122),MAX(0,IF(MONATSBUDGET!$C$13="",0,MONATSBUDGET!$C$13)-SUM(F120:F139)-SUM(H120:H121))))</x:f>
      </x:c>
      <x:c r="I122" s="88" t="str">
        <x:f>IF(C122="","",MAX(0,ROUND(D122+E122-F122-G122-H122,2)))</x:f>
      </x:c>
      <x:c r="J122" s="88" t="str">
        <x:f>IF(C122="","",F122+G122+H122)</x:f>
      </x:c>
      <x:c r="K122" s="88" t="str">
        <x:f>IF(C122="","",MAX(0,SUMIFS(SONDERZAHLUNGEN!$E$9:$E$128,SONDERZAHLUNGEN!$B$9:$B$128,C122,SONDERZAHLUNGEN!$C$9:$C$128,A122,SONDERZAHLUNGEN!$H$9:$H$128,"OK",SONDERZAHLUNGEN!$F$9:$F$128,"Ja")-G122))</x:f>
      </x:c>
    </x:row>
    <x:row r="123" ht="19" customHeight="1">
      <x:c r="A123" s="90" t="n">
        <x:f>MONATSBUDGET!$A$13</x:f>
        <x:v>46388</x:v>
      </x:c>
      <x:c r="B123" t="n">
        <x:f>4</x:f>
        <x:v>4</x:v>
      </x:c>
      <x:c r="C123" t="str">
        <x:f>IF($N$12="","",$N$12)</x:f>
      </x:c>
      <x:c r="D123" s="88" t="str">
        <x:f>IF(C123="","",I103)</x:f>
      </x:c>
      <x:c r="E123" s="88" t="str">
        <x:f>IF(C123="","",ROUND(D123*$P$12/12,2))</x:f>
      </x:c>
      <x:c r="F123" s="88" t="str">
        <x:f>IF(C123="","",MIN(D123+E123,$Q$12))</x:f>
      </x:c>
      <x:c r="G123" s="88" t="str">
        <x:f>IF(C123="","",MIN(MAX(0,D123+E123-F123),SUMIFS(SONDERZAHLUNGEN!$E$9:$E$128,SONDERZAHLUNGEN!$B$9:$B$128,C123,SONDERZAHLUNGEN!$C$9:$C$128,A123,SONDERZAHLUNGEN!$H$9:$H$128,"OK",SONDERZAHLUNGEN!$F$9:$F$128,"Ja")))</x:f>
      </x:c>
      <x:c r="H123" s="88" t="str">
        <x:f>IF(C123="","",MIN(MAX(0,D123+E123-F123-G123),MAX(0,IF(MONATSBUDGET!$C$13="",0,MONATSBUDGET!$C$13)-SUM(F120:F139)-SUM(H120:H122))))</x:f>
      </x:c>
      <x:c r="I123" s="88" t="str">
        <x:f>IF(C123="","",MAX(0,ROUND(D123+E123-F123-G123-H123,2)))</x:f>
      </x:c>
      <x:c r="J123" s="88" t="str">
        <x:f>IF(C123="","",F123+G123+H123)</x:f>
      </x:c>
      <x:c r="K123" s="88" t="str">
        <x:f>IF(C123="","",MAX(0,SUMIFS(SONDERZAHLUNGEN!$E$9:$E$128,SONDERZAHLUNGEN!$B$9:$B$128,C123,SONDERZAHLUNGEN!$C$9:$C$128,A123,SONDERZAHLUNGEN!$H$9:$H$128,"OK",SONDERZAHLUNGEN!$F$9:$F$128,"Ja")-G123))</x:f>
      </x:c>
    </x:row>
    <x:row r="124" ht="19" customHeight="1">
      <x:c r="A124" s="90" t="n">
        <x:f>MONATSBUDGET!$A$13</x:f>
        <x:v>46388</x:v>
      </x:c>
      <x:c r="B124" t="n">
        <x:f>5</x:f>
        <x:v>5</x:v>
      </x:c>
      <x:c r="C124" t="str">
        <x:f>IF($N$13="","",$N$13)</x:f>
      </x:c>
      <x:c r="D124" s="88" t="str">
        <x:f>IF(C124="","",I104)</x:f>
      </x:c>
      <x:c r="E124" s="88" t="str">
        <x:f>IF(C124="","",ROUND(D124*$P$13/12,2))</x:f>
      </x:c>
      <x:c r="F124" s="88" t="str">
        <x:f>IF(C124="","",MIN(D124+E124,$Q$13))</x:f>
      </x:c>
      <x:c r="G124" s="88" t="str">
        <x:f>IF(C124="","",MIN(MAX(0,D124+E124-F124),SUMIFS(SONDERZAHLUNGEN!$E$9:$E$128,SONDERZAHLUNGEN!$B$9:$B$128,C124,SONDERZAHLUNGEN!$C$9:$C$128,A124,SONDERZAHLUNGEN!$H$9:$H$128,"OK",SONDERZAHLUNGEN!$F$9:$F$128,"Ja")))</x:f>
      </x:c>
      <x:c r="H124" s="88" t="str">
        <x:f>IF(C124="","",MIN(MAX(0,D124+E124-F124-G124),MAX(0,IF(MONATSBUDGET!$C$13="",0,MONATSBUDGET!$C$13)-SUM(F120:F139)-SUM(H120:H123))))</x:f>
      </x:c>
      <x:c r="I124" s="88" t="str">
        <x:f>IF(C124="","",MAX(0,ROUND(D124+E124-F124-G124-H124,2)))</x:f>
      </x:c>
      <x:c r="J124" s="88" t="str">
        <x:f>IF(C124="","",F124+G124+H124)</x:f>
      </x:c>
      <x:c r="K124" s="88" t="str">
        <x:f>IF(C124="","",MAX(0,SUMIFS(SONDERZAHLUNGEN!$E$9:$E$128,SONDERZAHLUNGEN!$B$9:$B$128,C124,SONDERZAHLUNGEN!$C$9:$C$128,A124,SONDERZAHLUNGEN!$H$9:$H$128,"OK",SONDERZAHLUNGEN!$F$9:$F$128,"Ja")-G124))</x:f>
      </x:c>
    </x:row>
    <x:row r="125" ht="19" customHeight="1">
      <x:c r="A125" s="90" t="n">
        <x:f>MONATSBUDGET!$A$13</x:f>
        <x:v>46388</x:v>
      </x:c>
      <x:c r="B125" t="n">
        <x:f>6</x:f>
        <x:v>6</x:v>
      </x:c>
      <x:c r="C125" t="str">
        <x:f>IF($N$14="","",$N$14)</x:f>
      </x:c>
      <x:c r="D125" s="88" t="str">
        <x:f>IF(C125="","",I105)</x:f>
      </x:c>
      <x:c r="E125" s="88" t="str">
        <x:f>IF(C125="","",ROUND(D125*$P$14/12,2))</x:f>
      </x:c>
      <x:c r="F125" s="88" t="str">
        <x:f>IF(C125="","",MIN(D125+E125,$Q$14))</x:f>
      </x:c>
      <x:c r="G125" s="88" t="str">
        <x:f>IF(C125="","",MIN(MAX(0,D125+E125-F125),SUMIFS(SONDERZAHLUNGEN!$E$9:$E$128,SONDERZAHLUNGEN!$B$9:$B$128,C125,SONDERZAHLUNGEN!$C$9:$C$128,A125,SONDERZAHLUNGEN!$H$9:$H$128,"OK",SONDERZAHLUNGEN!$F$9:$F$128,"Ja")))</x:f>
      </x:c>
      <x:c r="H125" s="88" t="str">
        <x:f>IF(C125="","",MIN(MAX(0,D125+E125-F125-G125),MAX(0,IF(MONATSBUDGET!$C$13="",0,MONATSBUDGET!$C$13)-SUM(F120:F139)-SUM(H120:H124))))</x:f>
      </x:c>
      <x:c r="I125" s="88" t="str">
        <x:f>IF(C125="","",MAX(0,ROUND(D125+E125-F125-G125-H125,2)))</x:f>
      </x:c>
      <x:c r="J125" s="88" t="str">
        <x:f>IF(C125="","",F125+G125+H125)</x:f>
      </x:c>
      <x:c r="K125" s="88" t="str">
        <x:f>IF(C125="","",MAX(0,SUMIFS(SONDERZAHLUNGEN!$E$9:$E$128,SONDERZAHLUNGEN!$B$9:$B$128,C125,SONDERZAHLUNGEN!$C$9:$C$128,A125,SONDERZAHLUNGEN!$H$9:$H$128,"OK",SONDERZAHLUNGEN!$F$9:$F$128,"Ja")-G125))</x:f>
      </x:c>
    </x:row>
    <x:row r="126" ht="19" customHeight="1">
      <x:c r="A126" s="90" t="n">
        <x:f>MONATSBUDGET!$A$13</x:f>
        <x:v>46388</x:v>
      </x:c>
      <x:c r="B126" t="n">
        <x:f>7</x:f>
        <x:v>7</x:v>
      </x:c>
      <x:c r="C126" t="str">
        <x:f>IF($N$15="","",$N$15)</x:f>
      </x:c>
      <x:c r="D126" s="88" t="str">
        <x:f>IF(C126="","",I106)</x:f>
      </x:c>
      <x:c r="E126" s="88" t="str">
        <x:f>IF(C126="","",ROUND(D126*$P$15/12,2))</x:f>
      </x:c>
      <x:c r="F126" s="88" t="str">
        <x:f>IF(C126="","",MIN(D126+E126,$Q$15))</x:f>
      </x:c>
      <x:c r="G126" s="88" t="str">
        <x:f>IF(C126="","",MIN(MAX(0,D126+E126-F126),SUMIFS(SONDERZAHLUNGEN!$E$9:$E$128,SONDERZAHLUNGEN!$B$9:$B$128,C126,SONDERZAHLUNGEN!$C$9:$C$128,A126,SONDERZAHLUNGEN!$H$9:$H$128,"OK",SONDERZAHLUNGEN!$F$9:$F$128,"Ja")))</x:f>
      </x:c>
      <x:c r="H126" s="88" t="str">
        <x:f>IF(C126="","",MIN(MAX(0,D126+E126-F126-G126),MAX(0,IF(MONATSBUDGET!$C$13="",0,MONATSBUDGET!$C$13)-SUM(F120:F139)-SUM(H120:H125))))</x:f>
      </x:c>
      <x:c r="I126" s="88" t="str">
        <x:f>IF(C126="","",MAX(0,ROUND(D126+E126-F126-G126-H126,2)))</x:f>
      </x:c>
      <x:c r="J126" s="88" t="str">
        <x:f>IF(C126="","",F126+G126+H126)</x:f>
      </x:c>
      <x:c r="K126" s="88" t="str">
        <x:f>IF(C126="","",MAX(0,SUMIFS(SONDERZAHLUNGEN!$E$9:$E$128,SONDERZAHLUNGEN!$B$9:$B$128,C126,SONDERZAHLUNGEN!$C$9:$C$128,A126,SONDERZAHLUNGEN!$H$9:$H$128,"OK",SONDERZAHLUNGEN!$F$9:$F$128,"Ja")-G126))</x:f>
      </x:c>
    </x:row>
    <x:row r="127" ht="19" customHeight="1">
      <x:c r="A127" s="90" t="n">
        <x:f>MONATSBUDGET!$A$13</x:f>
        <x:v>46388</x:v>
      </x:c>
      <x:c r="B127" t="n">
        <x:f>8</x:f>
        <x:v>8</x:v>
      </x:c>
      <x:c r="C127" t="str">
        <x:f>IF($N$16="","",$N$16)</x:f>
      </x:c>
      <x:c r="D127" s="88" t="str">
        <x:f>IF(C127="","",I107)</x:f>
      </x:c>
      <x:c r="E127" s="88" t="str">
        <x:f>IF(C127="","",ROUND(D127*$P$16/12,2))</x:f>
      </x:c>
      <x:c r="F127" s="88" t="str">
        <x:f>IF(C127="","",MIN(D127+E127,$Q$16))</x:f>
      </x:c>
      <x:c r="G127" s="88" t="str">
        <x:f>IF(C127="","",MIN(MAX(0,D127+E127-F127),SUMIFS(SONDERZAHLUNGEN!$E$9:$E$128,SONDERZAHLUNGEN!$B$9:$B$128,C127,SONDERZAHLUNGEN!$C$9:$C$128,A127,SONDERZAHLUNGEN!$H$9:$H$128,"OK",SONDERZAHLUNGEN!$F$9:$F$128,"Ja")))</x:f>
      </x:c>
      <x:c r="H127" s="88" t="str">
        <x:f>IF(C127="","",MIN(MAX(0,D127+E127-F127-G127),MAX(0,IF(MONATSBUDGET!$C$13="",0,MONATSBUDGET!$C$13)-SUM(F120:F139)-SUM(H120:H126))))</x:f>
      </x:c>
      <x:c r="I127" s="88" t="str">
        <x:f>IF(C127="","",MAX(0,ROUND(D127+E127-F127-G127-H127,2)))</x:f>
      </x:c>
      <x:c r="J127" s="88" t="str">
        <x:f>IF(C127="","",F127+G127+H127)</x:f>
      </x:c>
      <x:c r="K127" s="88" t="str">
        <x:f>IF(C127="","",MAX(0,SUMIFS(SONDERZAHLUNGEN!$E$9:$E$128,SONDERZAHLUNGEN!$B$9:$B$128,C127,SONDERZAHLUNGEN!$C$9:$C$128,A127,SONDERZAHLUNGEN!$H$9:$H$128,"OK",SONDERZAHLUNGEN!$F$9:$F$128,"Ja")-G127))</x:f>
      </x:c>
    </x:row>
    <x:row r="128" ht="19" customHeight="1">
      <x:c r="A128" s="90" t="n">
        <x:f>MONATSBUDGET!$A$13</x:f>
        <x:v>46388</x:v>
      </x:c>
      <x:c r="B128" t="n">
        <x:f>9</x:f>
        <x:v>9</x:v>
      </x:c>
      <x:c r="C128" t="str">
        <x:f>IF($N$17="","",$N$17)</x:f>
      </x:c>
      <x:c r="D128" s="88" t="str">
        <x:f>IF(C128="","",I108)</x:f>
      </x:c>
      <x:c r="E128" s="88" t="str">
        <x:f>IF(C128="","",ROUND(D128*$P$17/12,2))</x:f>
      </x:c>
      <x:c r="F128" s="88" t="str">
        <x:f>IF(C128="","",MIN(D128+E128,$Q$17))</x:f>
      </x:c>
      <x:c r="G128" s="88" t="str">
        <x:f>IF(C128="","",MIN(MAX(0,D128+E128-F128),SUMIFS(SONDERZAHLUNGEN!$E$9:$E$128,SONDERZAHLUNGEN!$B$9:$B$128,C128,SONDERZAHLUNGEN!$C$9:$C$128,A128,SONDERZAHLUNGEN!$H$9:$H$128,"OK",SONDERZAHLUNGEN!$F$9:$F$128,"Ja")))</x:f>
      </x:c>
      <x:c r="H128" s="88" t="str">
        <x:f>IF(C128="","",MIN(MAX(0,D128+E128-F128-G128),MAX(0,IF(MONATSBUDGET!$C$13="",0,MONATSBUDGET!$C$13)-SUM(F120:F139)-SUM(H120:H127))))</x:f>
      </x:c>
      <x:c r="I128" s="88" t="str">
        <x:f>IF(C128="","",MAX(0,ROUND(D128+E128-F128-G128-H128,2)))</x:f>
      </x:c>
      <x:c r="J128" s="88" t="str">
        <x:f>IF(C128="","",F128+G128+H128)</x:f>
      </x:c>
      <x:c r="K128" s="88" t="str">
        <x:f>IF(C128="","",MAX(0,SUMIFS(SONDERZAHLUNGEN!$E$9:$E$128,SONDERZAHLUNGEN!$B$9:$B$128,C128,SONDERZAHLUNGEN!$C$9:$C$128,A128,SONDERZAHLUNGEN!$H$9:$H$128,"OK",SONDERZAHLUNGEN!$F$9:$F$128,"Ja")-G128))</x:f>
      </x:c>
    </x:row>
    <x:row r="129" ht="19" customHeight="1">
      <x:c r="A129" s="90" t="n">
        <x:f>MONATSBUDGET!$A$13</x:f>
        <x:v>46388</x:v>
      </x:c>
      <x:c r="B129" t="n">
        <x:f>10</x:f>
        <x:v>10</x:v>
      </x:c>
      <x:c r="C129" t="str">
        <x:f>IF($N$18="","",$N$18)</x:f>
      </x:c>
      <x:c r="D129" s="88" t="str">
        <x:f>IF(C129="","",I109)</x:f>
      </x:c>
      <x:c r="E129" s="88" t="str">
        <x:f>IF(C129="","",ROUND(D129*$P$18/12,2))</x:f>
      </x:c>
      <x:c r="F129" s="88" t="str">
        <x:f>IF(C129="","",MIN(D129+E129,$Q$18))</x:f>
      </x:c>
      <x:c r="G129" s="88" t="str">
        <x:f>IF(C129="","",MIN(MAX(0,D129+E129-F129),SUMIFS(SONDERZAHLUNGEN!$E$9:$E$128,SONDERZAHLUNGEN!$B$9:$B$128,C129,SONDERZAHLUNGEN!$C$9:$C$128,A129,SONDERZAHLUNGEN!$H$9:$H$128,"OK",SONDERZAHLUNGEN!$F$9:$F$128,"Ja")))</x:f>
      </x:c>
      <x:c r="H129" s="88" t="str">
        <x:f>IF(C129="","",MIN(MAX(0,D129+E129-F129-G129),MAX(0,IF(MONATSBUDGET!$C$13="",0,MONATSBUDGET!$C$13)-SUM(F120:F139)-SUM(H120:H128))))</x:f>
      </x:c>
      <x:c r="I129" s="88" t="str">
        <x:f>IF(C129="","",MAX(0,ROUND(D129+E129-F129-G129-H129,2)))</x:f>
      </x:c>
      <x:c r="J129" s="88" t="str">
        <x:f>IF(C129="","",F129+G129+H129)</x:f>
      </x:c>
      <x:c r="K129" s="88" t="str">
        <x:f>IF(C129="","",MAX(0,SUMIFS(SONDERZAHLUNGEN!$E$9:$E$128,SONDERZAHLUNGEN!$B$9:$B$128,C129,SONDERZAHLUNGEN!$C$9:$C$128,A129,SONDERZAHLUNGEN!$H$9:$H$128,"OK",SONDERZAHLUNGEN!$F$9:$F$128,"Ja")-G129))</x:f>
      </x:c>
    </x:row>
    <x:row r="130" ht="19" customHeight="1">
      <x:c r="A130" s="90" t="n">
        <x:f>MONATSBUDGET!$A$13</x:f>
        <x:v>46388</x:v>
      </x:c>
      <x:c r="B130" t="n">
        <x:f>11</x:f>
        <x:v>11</x:v>
      </x:c>
      <x:c r="C130" t="str">
        <x:f>IF($N$19="","",$N$19)</x:f>
      </x:c>
      <x:c r="D130" s="88" t="str">
        <x:f>IF(C130="","",I110)</x:f>
      </x:c>
      <x:c r="E130" s="88" t="str">
        <x:f>IF(C130="","",ROUND(D130*$P$19/12,2))</x:f>
      </x:c>
      <x:c r="F130" s="88" t="str">
        <x:f>IF(C130="","",MIN(D130+E130,$Q$19))</x:f>
      </x:c>
      <x:c r="G130" s="88" t="str">
        <x:f>IF(C130="","",MIN(MAX(0,D130+E130-F130),SUMIFS(SONDERZAHLUNGEN!$E$9:$E$128,SONDERZAHLUNGEN!$B$9:$B$128,C130,SONDERZAHLUNGEN!$C$9:$C$128,A130,SONDERZAHLUNGEN!$H$9:$H$128,"OK",SONDERZAHLUNGEN!$F$9:$F$128,"Ja")))</x:f>
      </x:c>
      <x:c r="H130" s="88" t="str">
        <x:f>IF(C130="","",MIN(MAX(0,D130+E130-F130-G130),MAX(0,IF(MONATSBUDGET!$C$13="",0,MONATSBUDGET!$C$13)-SUM(F120:F139)-SUM(H120:H129))))</x:f>
      </x:c>
      <x:c r="I130" s="88" t="str">
        <x:f>IF(C130="","",MAX(0,ROUND(D130+E130-F130-G130-H130,2)))</x:f>
      </x:c>
      <x:c r="J130" s="88" t="str">
        <x:f>IF(C130="","",F130+G130+H130)</x:f>
      </x:c>
      <x:c r="K130" s="88" t="str">
        <x:f>IF(C130="","",MAX(0,SUMIFS(SONDERZAHLUNGEN!$E$9:$E$128,SONDERZAHLUNGEN!$B$9:$B$128,C130,SONDERZAHLUNGEN!$C$9:$C$128,A130,SONDERZAHLUNGEN!$H$9:$H$128,"OK",SONDERZAHLUNGEN!$F$9:$F$128,"Ja")-G130))</x:f>
      </x:c>
    </x:row>
    <x:row r="131" ht="19" customHeight="1">
      <x:c r="A131" s="90" t="n">
        <x:f>MONATSBUDGET!$A$13</x:f>
        <x:v>46388</x:v>
      </x:c>
      <x:c r="B131" t="n">
        <x:f>12</x:f>
        <x:v>12</x:v>
      </x:c>
      <x:c r="C131" t="str">
        <x:f>IF($N$20="","",$N$20)</x:f>
      </x:c>
      <x:c r="D131" s="88" t="str">
        <x:f>IF(C131="","",I111)</x:f>
      </x:c>
      <x:c r="E131" s="88" t="str">
        <x:f>IF(C131="","",ROUND(D131*$P$20/12,2))</x:f>
      </x:c>
      <x:c r="F131" s="88" t="str">
        <x:f>IF(C131="","",MIN(D131+E131,$Q$20))</x:f>
      </x:c>
      <x:c r="G131" s="88" t="str">
        <x:f>IF(C131="","",MIN(MAX(0,D131+E131-F131),SUMIFS(SONDERZAHLUNGEN!$E$9:$E$128,SONDERZAHLUNGEN!$B$9:$B$128,C131,SONDERZAHLUNGEN!$C$9:$C$128,A131,SONDERZAHLUNGEN!$H$9:$H$128,"OK",SONDERZAHLUNGEN!$F$9:$F$128,"Ja")))</x:f>
      </x:c>
      <x:c r="H131" s="88" t="str">
        <x:f>IF(C131="","",MIN(MAX(0,D131+E131-F131-G131),MAX(0,IF(MONATSBUDGET!$C$13="",0,MONATSBUDGET!$C$13)-SUM(F120:F139)-SUM(H120:H130))))</x:f>
      </x:c>
      <x:c r="I131" s="88" t="str">
        <x:f>IF(C131="","",MAX(0,ROUND(D131+E131-F131-G131-H131,2)))</x:f>
      </x:c>
      <x:c r="J131" s="88" t="str">
        <x:f>IF(C131="","",F131+G131+H131)</x:f>
      </x:c>
      <x:c r="K131" s="88" t="str">
        <x:f>IF(C131="","",MAX(0,SUMIFS(SONDERZAHLUNGEN!$E$9:$E$128,SONDERZAHLUNGEN!$B$9:$B$128,C131,SONDERZAHLUNGEN!$C$9:$C$128,A131,SONDERZAHLUNGEN!$H$9:$H$128,"OK",SONDERZAHLUNGEN!$F$9:$F$128,"Ja")-G131))</x:f>
      </x:c>
    </x:row>
    <x:row r="132" ht="19" customHeight="1">
      <x:c r="A132" s="90" t="n">
        <x:f>MONATSBUDGET!$A$13</x:f>
        <x:v>46388</x:v>
      </x:c>
      <x:c r="B132" t="n">
        <x:f>13</x:f>
        <x:v>13</x:v>
      </x:c>
      <x:c r="C132" t="str">
        <x:f>IF($N$21="","",$N$21)</x:f>
      </x:c>
      <x:c r="D132" s="88" t="str">
        <x:f>IF(C132="","",I112)</x:f>
      </x:c>
      <x:c r="E132" s="88" t="str">
        <x:f>IF(C132="","",ROUND(D132*$P$21/12,2))</x:f>
      </x:c>
      <x:c r="F132" s="88" t="str">
        <x:f>IF(C132="","",MIN(D132+E132,$Q$21))</x:f>
      </x:c>
      <x:c r="G132" s="88" t="str">
        <x:f>IF(C132="","",MIN(MAX(0,D132+E132-F132),SUMIFS(SONDERZAHLUNGEN!$E$9:$E$128,SONDERZAHLUNGEN!$B$9:$B$128,C132,SONDERZAHLUNGEN!$C$9:$C$128,A132,SONDERZAHLUNGEN!$H$9:$H$128,"OK",SONDERZAHLUNGEN!$F$9:$F$128,"Ja")))</x:f>
      </x:c>
      <x:c r="H132" s="88" t="str">
        <x:f>IF(C132="","",MIN(MAX(0,D132+E132-F132-G132),MAX(0,IF(MONATSBUDGET!$C$13="",0,MONATSBUDGET!$C$13)-SUM(F120:F139)-SUM(H120:H131))))</x:f>
      </x:c>
      <x:c r="I132" s="88" t="str">
        <x:f>IF(C132="","",MAX(0,ROUND(D132+E132-F132-G132-H132,2)))</x:f>
      </x:c>
      <x:c r="J132" s="88" t="str">
        <x:f>IF(C132="","",F132+G132+H132)</x:f>
      </x:c>
      <x:c r="K132" s="88" t="str">
        <x:f>IF(C132="","",MAX(0,SUMIFS(SONDERZAHLUNGEN!$E$9:$E$128,SONDERZAHLUNGEN!$B$9:$B$128,C132,SONDERZAHLUNGEN!$C$9:$C$128,A132,SONDERZAHLUNGEN!$H$9:$H$128,"OK",SONDERZAHLUNGEN!$F$9:$F$128,"Ja")-G132))</x:f>
      </x:c>
    </x:row>
    <x:row r="133" ht="19" customHeight="1">
      <x:c r="A133" s="90" t="n">
        <x:f>MONATSBUDGET!$A$13</x:f>
        <x:v>46388</x:v>
      </x:c>
      <x:c r="B133" t="n">
        <x:f>14</x:f>
        <x:v>14</x:v>
      </x:c>
      <x:c r="C133" t="str">
        <x:f>IF($N$22="","",$N$22)</x:f>
      </x:c>
      <x:c r="D133" s="88" t="str">
        <x:f>IF(C133="","",I113)</x:f>
      </x:c>
      <x:c r="E133" s="88" t="str">
        <x:f>IF(C133="","",ROUND(D133*$P$22/12,2))</x:f>
      </x:c>
      <x:c r="F133" s="88" t="str">
        <x:f>IF(C133="","",MIN(D133+E133,$Q$22))</x:f>
      </x:c>
      <x:c r="G133" s="88" t="str">
        <x:f>IF(C133="","",MIN(MAX(0,D133+E133-F133),SUMIFS(SONDERZAHLUNGEN!$E$9:$E$128,SONDERZAHLUNGEN!$B$9:$B$128,C133,SONDERZAHLUNGEN!$C$9:$C$128,A133,SONDERZAHLUNGEN!$H$9:$H$128,"OK",SONDERZAHLUNGEN!$F$9:$F$128,"Ja")))</x:f>
      </x:c>
      <x:c r="H133" s="88" t="str">
        <x:f>IF(C133="","",MIN(MAX(0,D133+E133-F133-G133),MAX(0,IF(MONATSBUDGET!$C$13="",0,MONATSBUDGET!$C$13)-SUM(F120:F139)-SUM(H120:H132))))</x:f>
      </x:c>
      <x:c r="I133" s="88" t="str">
        <x:f>IF(C133="","",MAX(0,ROUND(D133+E133-F133-G133-H133,2)))</x:f>
      </x:c>
      <x:c r="J133" s="88" t="str">
        <x:f>IF(C133="","",F133+G133+H133)</x:f>
      </x:c>
      <x:c r="K133" s="88" t="str">
        <x:f>IF(C133="","",MAX(0,SUMIFS(SONDERZAHLUNGEN!$E$9:$E$128,SONDERZAHLUNGEN!$B$9:$B$128,C133,SONDERZAHLUNGEN!$C$9:$C$128,A133,SONDERZAHLUNGEN!$H$9:$H$128,"OK",SONDERZAHLUNGEN!$F$9:$F$128,"Ja")-G133))</x:f>
      </x:c>
    </x:row>
    <x:row r="134" ht="19" customHeight="1">
      <x:c r="A134" s="90" t="n">
        <x:f>MONATSBUDGET!$A$13</x:f>
        <x:v>46388</x:v>
      </x:c>
      <x:c r="B134" t="n">
        <x:f>15</x:f>
        <x:v>15</x:v>
      </x:c>
      <x:c r="C134" t="str">
        <x:f>IF($N$23="","",$N$23)</x:f>
      </x:c>
      <x:c r="D134" s="88" t="str">
        <x:f>IF(C134="","",I114)</x:f>
      </x:c>
      <x:c r="E134" s="88" t="str">
        <x:f>IF(C134="","",ROUND(D134*$P$23/12,2))</x:f>
      </x:c>
      <x:c r="F134" s="88" t="str">
        <x:f>IF(C134="","",MIN(D134+E134,$Q$23))</x:f>
      </x:c>
      <x:c r="G134" s="88" t="str">
        <x:f>IF(C134="","",MIN(MAX(0,D134+E134-F134),SUMIFS(SONDERZAHLUNGEN!$E$9:$E$128,SONDERZAHLUNGEN!$B$9:$B$128,C134,SONDERZAHLUNGEN!$C$9:$C$128,A134,SONDERZAHLUNGEN!$H$9:$H$128,"OK",SONDERZAHLUNGEN!$F$9:$F$128,"Ja")))</x:f>
      </x:c>
      <x:c r="H134" s="88" t="str">
        <x:f>IF(C134="","",MIN(MAX(0,D134+E134-F134-G134),MAX(0,IF(MONATSBUDGET!$C$13="",0,MONATSBUDGET!$C$13)-SUM(F120:F139)-SUM(H120:H133))))</x:f>
      </x:c>
      <x:c r="I134" s="88" t="str">
        <x:f>IF(C134="","",MAX(0,ROUND(D134+E134-F134-G134-H134,2)))</x:f>
      </x:c>
      <x:c r="J134" s="88" t="str">
        <x:f>IF(C134="","",F134+G134+H134)</x:f>
      </x:c>
      <x:c r="K134" s="88" t="str">
        <x:f>IF(C134="","",MAX(0,SUMIFS(SONDERZAHLUNGEN!$E$9:$E$128,SONDERZAHLUNGEN!$B$9:$B$128,C134,SONDERZAHLUNGEN!$C$9:$C$128,A134,SONDERZAHLUNGEN!$H$9:$H$128,"OK",SONDERZAHLUNGEN!$F$9:$F$128,"Ja")-G134))</x:f>
      </x:c>
    </x:row>
    <x:row r="135" ht="19" customHeight="1">
      <x:c r="A135" s="90" t="n">
        <x:f>MONATSBUDGET!$A$13</x:f>
        <x:v>46388</x:v>
      </x:c>
      <x:c r="B135" t="n">
        <x:f>16</x:f>
        <x:v>16</x:v>
      </x:c>
      <x:c r="C135" t="str">
        <x:f>IF($N$24="","",$N$24)</x:f>
      </x:c>
      <x:c r="D135" s="88" t="str">
        <x:f>IF(C135="","",I115)</x:f>
      </x:c>
      <x:c r="E135" s="88" t="str">
        <x:f>IF(C135="","",ROUND(D135*$P$24/12,2))</x:f>
      </x:c>
      <x:c r="F135" s="88" t="str">
        <x:f>IF(C135="","",MIN(D135+E135,$Q$24))</x:f>
      </x:c>
      <x:c r="G135" s="88" t="str">
        <x:f>IF(C135="","",MIN(MAX(0,D135+E135-F135),SUMIFS(SONDERZAHLUNGEN!$E$9:$E$128,SONDERZAHLUNGEN!$B$9:$B$128,C135,SONDERZAHLUNGEN!$C$9:$C$128,A135,SONDERZAHLUNGEN!$H$9:$H$128,"OK",SONDERZAHLUNGEN!$F$9:$F$128,"Ja")))</x:f>
      </x:c>
      <x:c r="H135" s="88" t="str">
        <x:f>IF(C135="","",MIN(MAX(0,D135+E135-F135-G135),MAX(0,IF(MONATSBUDGET!$C$13="",0,MONATSBUDGET!$C$13)-SUM(F120:F139)-SUM(H120:H134))))</x:f>
      </x:c>
      <x:c r="I135" s="88" t="str">
        <x:f>IF(C135="","",MAX(0,ROUND(D135+E135-F135-G135-H135,2)))</x:f>
      </x:c>
      <x:c r="J135" s="88" t="str">
        <x:f>IF(C135="","",F135+G135+H135)</x:f>
      </x:c>
      <x:c r="K135" s="88" t="str">
        <x:f>IF(C135="","",MAX(0,SUMIFS(SONDERZAHLUNGEN!$E$9:$E$128,SONDERZAHLUNGEN!$B$9:$B$128,C135,SONDERZAHLUNGEN!$C$9:$C$128,A135,SONDERZAHLUNGEN!$H$9:$H$128,"OK",SONDERZAHLUNGEN!$F$9:$F$128,"Ja")-G135))</x:f>
      </x:c>
    </x:row>
    <x:row r="136" ht="19" customHeight="1">
      <x:c r="A136" s="90" t="n">
        <x:f>MONATSBUDGET!$A$13</x:f>
        <x:v>46388</x:v>
      </x:c>
      <x:c r="B136" t="n">
        <x:f>17</x:f>
        <x:v>17</x:v>
      </x:c>
      <x:c r="C136" t="str">
        <x:f>IF($N$25="","",$N$25)</x:f>
      </x:c>
      <x:c r="D136" s="88" t="str">
        <x:f>IF(C136="","",I116)</x:f>
      </x:c>
      <x:c r="E136" s="88" t="str">
        <x:f>IF(C136="","",ROUND(D136*$P$25/12,2))</x:f>
      </x:c>
      <x:c r="F136" s="88" t="str">
        <x:f>IF(C136="","",MIN(D136+E136,$Q$25))</x:f>
      </x:c>
      <x:c r="G136" s="88" t="str">
        <x:f>IF(C136="","",MIN(MAX(0,D136+E136-F136),SUMIFS(SONDERZAHLUNGEN!$E$9:$E$128,SONDERZAHLUNGEN!$B$9:$B$128,C136,SONDERZAHLUNGEN!$C$9:$C$128,A136,SONDERZAHLUNGEN!$H$9:$H$128,"OK",SONDERZAHLUNGEN!$F$9:$F$128,"Ja")))</x:f>
      </x:c>
      <x:c r="H136" s="88" t="str">
        <x:f>IF(C136="","",MIN(MAX(0,D136+E136-F136-G136),MAX(0,IF(MONATSBUDGET!$C$13="",0,MONATSBUDGET!$C$13)-SUM(F120:F139)-SUM(H120:H135))))</x:f>
      </x:c>
      <x:c r="I136" s="88" t="str">
        <x:f>IF(C136="","",MAX(0,ROUND(D136+E136-F136-G136-H136,2)))</x:f>
      </x:c>
      <x:c r="J136" s="88" t="str">
        <x:f>IF(C136="","",F136+G136+H136)</x:f>
      </x:c>
      <x:c r="K136" s="88" t="str">
        <x:f>IF(C136="","",MAX(0,SUMIFS(SONDERZAHLUNGEN!$E$9:$E$128,SONDERZAHLUNGEN!$B$9:$B$128,C136,SONDERZAHLUNGEN!$C$9:$C$128,A136,SONDERZAHLUNGEN!$H$9:$H$128,"OK",SONDERZAHLUNGEN!$F$9:$F$128,"Ja")-G136))</x:f>
      </x:c>
    </x:row>
    <x:row r="137" ht="19" customHeight="1">
      <x:c r="A137" s="90" t="n">
        <x:f>MONATSBUDGET!$A$13</x:f>
        <x:v>46388</x:v>
      </x:c>
      <x:c r="B137" t="n">
        <x:f>18</x:f>
        <x:v>18</x:v>
      </x:c>
      <x:c r="C137" t="str">
        <x:f>IF($N$26="","",$N$26)</x:f>
      </x:c>
      <x:c r="D137" s="88" t="str">
        <x:f>IF(C137="","",I117)</x:f>
      </x:c>
      <x:c r="E137" s="88" t="str">
        <x:f>IF(C137="","",ROUND(D137*$P$26/12,2))</x:f>
      </x:c>
      <x:c r="F137" s="88" t="str">
        <x:f>IF(C137="","",MIN(D137+E137,$Q$26))</x:f>
      </x:c>
      <x:c r="G137" s="88" t="str">
        <x:f>IF(C137="","",MIN(MAX(0,D137+E137-F137),SUMIFS(SONDERZAHLUNGEN!$E$9:$E$128,SONDERZAHLUNGEN!$B$9:$B$128,C137,SONDERZAHLUNGEN!$C$9:$C$128,A137,SONDERZAHLUNGEN!$H$9:$H$128,"OK",SONDERZAHLUNGEN!$F$9:$F$128,"Ja")))</x:f>
      </x:c>
      <x:c r="H137" s="88" t="str">
        <x:f>IF(C137="","",MIN(MAX(0,D137+E137-F137-G137),MAX(0,IF(MONATSBUDGET!$C$13="",0,MONATSBUDGET!$C$13)-SUM(F120:F139)-SUM(H120:H136))))</x:f>
      </x:c>
      <x:c r="I137" s="88" t="str">
        <x:f>IF(C137="","",MAX(0,ROUND(D137+E137-F137-G137-H137,2)))</x:f>
      </x:c>
      <x:c r="J137" s="88" t="str">
        <x:f>IF(C137="","",F137+G137+H137)</x:f>
      </x:c>
      <x:c r="K137" s="88" t="str">
        <x:f>IF(C137="","",MAX(0,SUMIFS(SONDERZAHLUNGEN!$E$9:$E$128,SONDERZAHLUNGEN!$B$9:$B$128,C137,SONDERZAHLUNGEN!$C$9:$C$128,A137,SONDERZAHLUNGEN!$H$9:$H$128,"OK",SONDERZAHLUNGEN!$F$9:$F$128,"Ja")-G137))</x:f>
      </x:c>
    </x:row>
    <x:row r="138" ht="19" customHeight="1">
      <x:c r="A138" s="90" t="n">
        <x:f>MONATSBUDGET!$A$13</x:f>
        <x:v>46388</x:v>
      </x:c>
      <x:c r="B138" t="n">
        <x:f>19</x:f>
        <x:v>19</x:v>
      </x:c>
      <x:c r="C138" t="str">
        <x:f>IF($N$27="","",$N$27)</x:f>
      </x:c>
      <x:c r="D138" s="88" t="str">
        <x:f>IF(C138="","",I118)</x:f>
      </x:c>
      <x:c r="E138" s="88" t="str">
        <x:f>IF(C138="","",ROUND(D138*$P$27/12,2))</x:f>
      </x:c>
      <x:c r="F138" s="88" t="str">
        <x:f>IF(C138="","",MIN(D138+E138,$Q$27))</x:f>
      </x:c>
      <x:c r="G138" s="88" t="str">
        <x:f>IF(C138="","",MIN(MAX(0,D138+E138-F138),SUMIFS(SONDERZAHLUNGEN!$E$9:$E$128,SONDERZAHLUNGEN!$B$9:$B$128,C138,SONDERZAHLUNGEN!$C$9:$C$128,A138,SONDERZAHLUNGEN!$H$9:$H$128,"OK",SONDERZAHLUNGEN!$F$9:$F$128,"Ja")))</x:f>
      </x:c>
      <x:c r="H138" s="88" t="str">
        <x:f>IF(C138="","",MIN(MAX(0,D138+E138-F138-G138),MAX(0,IF(MONATSBUDGET!$C$13="",0,MONATSBUDGET!$C$13)-SUM(F120:F139)-SUM(H120:H137))))</x:f>
      </x:c>
      <x:c r="I138" s="88" t="str">
        <x:f>IF(C138="","",MAX(0,ROUND(D138+E138-F138-G138-H138,2)))</x:f>
      </x:c>
      <x:c r="J138" s="88" t="str">
        <x:f>IF(C138="","",F138+G138+H138)</x:f>
      </x:c>
      <x:c r="K138" s="88" t="str">
        <x:f>IF(C138="","",MAX(0,SUMIFS(SONDERZAHLUNGEN!$E$9:$E$128,SONDERZAHLUNGEN!$B$9:$B$128,C138,SONDERZAHLUNGEN!$C$9:$C$128,A138,SONDERZAHLUNGEN!$H$9:$H$128,"OK",SONDERZAHLUNGEN!$F$9:$F$128,"Ja")-G138))</x:f>
      </x:c>
    </x:row>
    <x:row r="139" ht="19" customHeight="1">
      <x:c r="A139" s="90" t="n">
        <x:f>MONATSBUDGET!$A$13</x:f>
        <x:v>46388</x:v>
      </x:c>
      <x:c r="B139" t="n">
        <x:f>20</x:f>
        <x:v>20</x:v>
      </x:c>
      <x:c r="C139" t="str">
        <x:f>IF($N$28="","",$N$28)</x:f>
      </x:c>
      <x:c r="D139" s="88" t="str">
        <x:f>IF(C139="","",I119)</x:f>
      </x:c>
      <x:c r="E139" s="88" t="str">
        <x:f>IF(C139="","",ROUND(D139*$P$28/12,2))</x:f>
      </x:c>
      <x:c r="F139" s="88" t="str">
        <x:f>IF(C139="","",MIN(D139+E139,$Q$28))</x:f>
      </x:c>
      <x:c r="G139" s="88" t="str">
        <x:f>IF(C139="","",MIN(MAX(0,D139+E139-F139),SUMIFS(SONDERZAHLUNGEN!$E$9:$E$128,SONDERZAHLUNGEN!$B$9:$B$128,C139,SONDERZAHLUNGEN!$C$9:$C$128,A139,SONDERZAHLUNGEN!$H$9:$H$128,"OK",SONDERZAHLUNGEN!$F$9:$F$128,"Ja")))</x:f>
      </x:c>
      <x:c r="H139" s="88" t="str">
        <x:f>IF(C139="","",MIN(MAX(0,D139+E139-F139-G139),MAX(0,IF(MONATSBUDGET!$C$13="",0,MONATSBUDGET!$C$13)-SUM(F120:F139)-SUM(H120:H138))))</x:f>
      </x:c>
      <x:c r="I139" s="88" t="str">
        <x:f>IF(C139="","",MAX(0,ROUND(D139+E139-F139-G139-H139,2)))</x:f>
      </x:c>
      <x:c r="J139" s="88" t="str">
        <x:f>IF(C139="","",F139+G139+H139)</x:f>
      </x:c>
      <x:c r="K139" s="88" t="str">
        <x:f>IF(C139="","",MAX(0,SUMIFS(SONDERZAHLUNGEN!$E$9:$E$128,SONDERZAHLUNGEN!$B$9:$B$128,C139,SONDERZAHLUNGEN!$C$9:$C$128,A139,SONDERZAHLUNGEN!$H$9:$H$128,"OK",SONDERZAHLUNGEN!$F$9:$F$128,"Ja")-G139))</x:f>
      </x:c>
    </x:row>
    <x:row r="140" ht="19" customHeight="1">
      <x:c r="A140" s="90" t="n">
        <x:f>MONATSBUDGET!$A$14</x:f>
        <x:v>46419</x:v>
      </x:c>
      <x:c r="B140" t="n">
        <x:f>1</x:f>
        <x:v>1</x:v>
      </x:c>
      <x:c r="C140" t="str">
        <x:f>IF($N$9="","",$N$9)</x:f>
      </x:c>
      <x:c r="D140" s="88" t="str">
        <x:f>IF(C140="","",I120)</x:f>
      </x:c>
      <x:c r="E140" s="88" t="str">
        <x:f>IF(C140="","",ROUND(D140*$P$9/12,2))</x:f>
      </x:c>
      <x:c r="F140" s="88" t="str">
        <x:f>IF(C140="","",MIN(D140+E140,$Q$9))</x:f>
      </x:c>
      <x:c r="G140" s="88" t="str">
        <x:f>IF(C140="","",MIN(MAX(0,D140+E140-F140),SUMIFS(SONDERZAHLUNGEN!$E$9:$E$128,SONDERZAHLUNGEN!$B$9:$B$128,C140,SONDERZAHLUNGEN!$C$9:$C$128,A140,SONDERZAHLUNGEN!$H$9:$H$128,"OK",SONDERZAHLUNGEN!$F$9:$F$128,"Ja")))</x:f>
      </x:c>
      <x:c r="H140" s="88" t="str">
        <x:f>IF(C140="","",MIN(MAX(0,D140+E140-F140-G140),MAX(0,IF(MONATSBUDGET!$C$14="",0,MONATSBUDGET!$C$14)-SUM(F140:F159)-0)))</x:f>
      </x:c>
      <x:c r="I140" s="88" t="str">
        <x:f>IF(C140="","",MAX(0,ROUND(D140+E140-F140-G140-H140,2)))</x:f>
      </x:c>
      <x:c r="J140" s="88" t="str">
        <x:f>IF(C140="","",F140+G140+H140)</x:f>
      </x:c>
      <x:c r="K140" s="88" t="str">
        <x:f>IF(C140="","",MAX(0,SUMIFS(SONDERZAHLUNGEN!$E$9:$E$128,SONDERZAHLUNGEN!$B$9:$B$128,C140,SONDERZAHLUNGEN!$C$9:$C$128,A140,SONDERZAHLUNGEN!$H$9:$H$128,"OK",SONDERZAHLUNGEN!$F$9:$F$128,"Ja")-G140))</x:f>
      </x:c>
    </x:row>
    <x:row r="141" ht="19" customHeight="1">
      <x:c r="A141" s="90" t="n">
        <x:f>MONATSBUDGET!$A$14</x:f>
        <x:v>46419</x:v>
      </x:c>
      <x:c r="B141" t="n">
        <x:f>2</x:f>
        <x:v>2</x:v>
      </x:c>
      <x:c r="C141" t="str">
        <x:f>IF($N$10="","",$N$10)</x:f>
      </x:c>
      <x:c r="D141" s="88" t="str">
        <x:f>IF(C141="","",I121)</x:f>
      </x:c>
      <x:c r="E141" s="88" t="str">
        <x:f>IF(C141="","",ROUND(D141*$P$10/12,2))</x:f>
      </x:c>
      <x:c r="F141" s="88" t="str">
        <x:f>IF(C141="","",MIN(D141+E141,$Q$10))</x:f>
      </x:c>
      <x:c r="G141" s="88" t="str">
        <x:f>IF(C141="","",MIN(MAX(0,D141+E141-F141),SUMIFS(SONDERZAHLUNGEN!$E$9:$E$128,SONDERZAHLUNGEN!$B$9:$B$128,C141,SONDERZAHLUNGEN!$C$9:$C$128,A141,SONDERZAHLUNGEN!$H$9:$H$128,"OK",SONDERZAHLUNGEN!$F$9:$F$128,"Ja")))</x:f>
      </x:c>
      <x:c r="H141" s="88" t="str">
        <x:f>IF(C141="","",MIN(MAX(0,D141+E141-F141-G141),MAX(0,IF(MONATSBUDGET!$C$14="",0,MONATSBUDGET!$C$14)-SUM(F140:F159)-SUM(H140:H140))))</x:f>
      </x:c>
      <x:c r="I141" s="88" t="str">
        <x:f>IF(C141="","",MAX(0,ROUND(D141+E141-F141-G141-H141,2)))</x:f>
      </x:c>
      <x:c r="J141" s="88" t="str">
        <x:f>IF(C141="","",F141+G141+H141)</x:f>
      </x:c>
      <x:c r="K141" s="88" t="str">
        <x:f>IF(C141="","",MAX(0,SUMIFS(SONDERZAHLUNGEN!$E$9:$E$128,SONDERZAHLUNGEN!$B$9:$B$128,C141,SONDERZAHLUNGEN!$C$9:$C$128,A141,SONDERZAHLUNGEN!$H$9:$H$128,"OK",SONDERZAHLUNGEN!$F$9:$F$128,"Ja")-G141))</x:f>
      </x:c>
    </x:row>
    <x:row r="142" ht="19" customHeight="1">
      <x:c r="A142" s="90" t="n">
        <x:f>MONATSBUDGET!$A$14</x:f>
        <x:v>46419</x:v>
      </x:c>
      <x:c r="B142" t="n">
        <x:f>3</x:f>
        <x:v>3</x:v>
      </x:c>
      <x:c r="C142" t="str">
        <x:f>IF($N$11="","",$N$11)</x:f>
      </x:c>
      <x:c r="D142" s="88" t="str">
        <x:f>IF(C142="","",I122)</x:f>
      </x:c>
      <x:c r="E142" s="88" t="str">
        <x:f>IF(C142="","",ROUND(D142*$P$11/12,2))</x:f>
      </x:c>
      <x:c r="F142" s="88" t="str">
        <x:f>IF(C142="","",MIN(D142+E142,$Q$11))</x:f>
      </x:c>
      <x:c r="G142" s="88" t="str">
        <x:f>IF(C142="","",MIN(MAX(0,D142+E142-F142),SUMIFS(SONDERZAHLUNGEN!$E$9:$E$128,SONDERZAHLUNGEN!$B$9:$B$128,C142,SONDERZAHLUNGEN!$C$9:$C$128,A142,SONDERZAHLUNGEN!$H$9:$H$128,"OK",SONDERZAHLUNGEN!$F$9:$F$128,"Ja")))</x:f>
      </x:c>
      <x:c r="H142" s="88" t="str">
        <x:f>IF(C142="","",MIN(MAX(0,D142+E142-F142-G142),MAX(0,IF(MONATSBUDGET!$C$14="",0,MONATSBUDGET!$C$14)-SUM(F140:F159)-SUM(H140:H141))))</x:f>
      </x:c>
      <x:c r="I142" s="88" t="str">
        <x:f>IF(C142="","",MAX(0,ROUND(D142+E142-F142-G142-H142,2)))</x:f>
      </x:c>
      <x:c r="J142" s="88" t="str">
        <x:f>IF(C142="","",F142+G142+H142)</x:f>
      </x:c>
      <x:c r="K142" s="88" t="str">
        <x:f>IF(C142="","",MAX(0,SUMIFS(SONDERZAHLUNGEN!$E$9:$E$128,SONDERZAHLUNGEN!$B$9:$B$128,C142,SONDERZAHLUNGEN!$C$9:$C$128,A142,SONDERZAHLUNGEN!$H$9:$H$128,"OK",SONDERZAHLUNGEN!$F$9:$F$128,"Ja")-G142))</x:f>
      </x:c>
    </x:row>
    <x:row r="143" ht="19" customHeight="1">
      <x:c r="A143" s="90" t="n">
        <x:f>MONATSBUDGET!$A$14</x:f>
        <x:v>46419</x:v>
      </x:c>
      <x:c r="B143" t="n">
        <x:f>4</x:f>
        <x:v>4</x:v>
      </x:c>
      <x:c r="C143" t="str">
        <x:f>IF($N$12="","",$N$12)</x:f>
      </x:c>
      <x:c r="D143" s="88" t="str">
        <x:f>IF(C143="","",I123)</x:f>
      </x:c>
      <x:c r="E143" s="88" t="str">
        <x:f>IF(C143="","",ROUND(D143*$P$12/12,2))</x:f>
      </x:c>
      <x:c r="F143" s="88" t="str">
        <x:f>IF(C143="","",MIN(D143+E143,$Q$12))</x:f>
      </x:c>
      <x:c r="G143" s="88" t="str">
        <x:f>IF(C143="","",MIN(MAX(0,D143+E143-F143),SUMIFS(SONDERZAHLUNGEN!$E$9:$E$128,SONDERZAHLUNGEN!$B$9:$B$128,C143,SONDERZAHLUNGEN!$C$9:$C$128,A143,SONDERZAHLUNGEN!$H$9:$H$128,"OK",SONDERZAHLUNGEN!$F$9:$F$128,"Ja")))</x:f>
      </x:c>
      <x:c r="H143" s="88" t="str">
        <x:f>IF(C143="","",MIN(MAX(0,D143+E143-F143-G143),MAX(0,IF(MONATSBUDGET!$C$14="",0,MONATSBUDGET!$C$14)-SUM(F140:F159)-SUM(H140:H142))))</x:f>
      </x:c>
      <x:c r="I143" s="88" t="str">
        <x:f>IF(C143="","",MAX(0,ROUND(D143+E143-F143-G143-H143,2)))</x:f>
      </x:c>
      <x:c r="J143" s="88" t="str">
        <x:f>IF(C143="","",F143+G143+H143)</x:f>
      </x:c>
      <x:c r="K143" s="88" t="str">
        <x:f>IF(C143="","",MAX(0,SUMIFS(SONDERZAHLUNGEN!$E$9:$E$128,SONDERZAHLUNGEN!$B$9:$B$128,C143,SONDERZAHLUNGEN!$C$9:$C$128,A143,SONDERZAHLUNGEN!$H$9:$H$128,"OK",SONDERZAHLUNGEN!$F$9:$F$128,"Ja")-G143))</x:f>
      </x:c>
    </x:row>
    <x:row r="144" ht="19" customHeight="1">
      <x:c r="A144" s="90" t="n">
        <x:f>MONATSBUDGET!$A$14</x:f>
        <x:v>46419</x:v>
      </x:c>
      <x:c r="B144" t="n">
        <x:f>5</x:f>
        <x:v>5</x:v>
      </x:c>
      <x:c r="C144" t="str">
        <x:f>IF($N$13="","",$N$13)</x:f>
      </x:c>
      <x:c r="D144" s="88" t="str">
        <x:f>IF(C144="","",I124)</x:f>
      </x:c>
      <x:c r="E144" s="88" t="str">
        <x:f>IF(C144="","",ROUND(D144*$P$13/12,2))</x:f>
      </x:c>
      <x:c r="F144" s="88" t="str">
        <x:f>IF(C144="","",MIN(D144+E144,$Q$13))</x:f>
      </x:c>
      <x:c r="G144" s="88" t="str">
        <x:f>IF(C144="","",MIN(MAX(0,D144+E144-F144),SUMIFS(SONDERZAHLUNGEN!$E$9:$E$128,SONDERZAHLUNGEN!$B$9:$B$128,C144,SONDERZAHLUNGEN!$C$9:$C$128,A144,SONDERZAHLUNGEN!$H$9:$H$128,"OK",SONDERZAHLUNGEN!$F$9:$F$128,"Ja")))</x:f>
      </x:c>
      <x:c r="H144" s="88" t="str">
        <x:f>IF(C144="","",MIN(MAX(0,D144+E144-F144-G144),MAX(0,IF(MONATSBUDGET!$C$14="",0,MONATSBUDGET!$C$14)-SUM(F140:F159)-SUM(H140:H143))))</x:f>
      </x:c>
      <x:c r="I144" s="88" t="str">
        <x:f>IF(C144="","",MAX(0,ROUND(D144+E144-F144-G144-H144,2)))</x:f>
      </x:c>
      <x:c r="J144" s="88" t="str">
        <x:f>IF(C144="","",F144+G144+H144)</x:f>
      </x:c>
      <x:c r="K144" s="88" t="str">
        <x:f>IF(C144="","",MAX(0,SUMIFS(SONDERZAHLUNGEN!$E$9:$E$128,SONDERZAHLUNGEN!$B$9:$B$128,C144,SONDERZAHLUNGEN!$C$9:$C$128,A144,SONDERZAHLUNGEN!$H$9:$H$128,"OK",SONDERZAHLUNGEN!$F$9:$F$128,"Ja")-G144))</x:f>
      </x:c>
    </x:row>
    <x:row r="145" ht="19" customHeight="1">
      <x:c r="A145" s="90" t="n">
        <x:f>MONATSBUDGET!$A$14</x:f>
        <x:v>46419</x:v>
      </x:c>
      <x:c r="B145" t="n">
        <x:f>6</x:f>
        <x:v>6</x:v>
      </x:c>
      <x:c r="C145" t="str">
        <x:f>IF($N$14="","",$N$14)</x:f>
      </x:c>
      <x:c r="D145" s="88" t="str">
        <x:f>IF(C145="","",I125)</x:f>
      </x:c>
      <x:c r="E145" s="88" t="str">
        <x:f>IF(C145="","",ROUND(D145*$P$14/12,2))</x:f>
      </x:c>
      <x:c r="F145" s="88" t="str">
        <x:f>IF(C145="","",MIN(D145+E145,$Q$14))</x:f>
      </x:c>
      <x:c r="G145" s="88" t="str">
        <x:f>IF(C145="","",MIN(MAX(0,D145+E145-F145),SUMIFS(SONDERZAHLUNGEN!$E$9:$E$128,SONDERZAHLUNGEN!$B$9:$B$128,C145,SONDERZAHLUNGEN!$C$9:$C$128,A145,SONDERZAHLUNGEN!$H$9:$H$128,"OK",SONDERZAHLUNGEN!$F$9:$F$128,"Ja")))</x:f>
      </x:c>
      <x:c r="H145" s="88" t="str">
        <x:f>IF(C145="","",MIN(MAX(0,D145+E145-F145-G145),MAX(0,IF(MONATSBUDGET!$C$14="",0,MONATSBUDGET!$C$14)-SUM(F140:F159)-SUM(H140:H144))))</x:f>
      </x:c>
      <x:c r="I145" s="88" t="str">
        <x:f>IF(C145="","",MAX(0,ROUND(D145+E145-F145-G145-H145,2)))</x:f>
      </x:c>
      <x:c r="J145" s="88" t="str">
        <x:f>IF(C145="","",F145+G145+H145)</x:f>
      </x:c>
      <x:c r="K145" s="88" t="str">
        <x:f>IF(C145="","",MAX(0,SUMIFS(SONDERZAHLUNGEN!$E$9:$E$128,SONDERZAHLUNGEN!$B$9:$B$128,C145,SONDERZAHLUNGEN!$C$9:$C$128,A145,SONDERZAHLUNGEN!$H$9:$H$128,"OK",SONDERZAHLUNGEN!$F$9:$F$128,"Ja")-G145))</x:f>
      </x:c>
    </x:row>
    <x:row r="146" ht="19" customHeight="1">
      <x:c r="A146" s="90" t="n">
        <x:f>MONATSBUDGET!$A$14</x:f>
        <x:v>46419</x:v>
      </x:c>
      <x:c r="B146" t="n">
        <x:f>7</x:f>
        <x:v>7</x:v>
      </x:c>
      <x:c r="C146" t="str">
        <x:f>IF($N$15="","",$N$15)</x:f>
      </x:c>
      <x:c r="D146" s="88" t="str">
        <x:f>IF(C146="","",I126)</x:f>
      </x:c>
      <x:c r="E146" s="88" t="str">
        <x:f>IF(C146="","",ROUND(D146*$P$15/12,2))</x:f>
      </x:c>
      <x:c r="F146" s="88" t="str">
        <x:f>IF(C146="","",MIN(D146+E146,$Q$15))</x:f>
      </x:c>
      <x:c r="G146" s="88" t="str">
        <x:f>IF(C146="","",MIN(MAX(0,D146+E146-F146),SUMIFS(SONDERZAHLUNGEN!$E$9:$E$128,SONDERZAHLUNGEN!$B$9:$B$128,C146,SONDERZAHLUNGEN!$C$9:$C$128,A146,SONDERZAHLUNGEN!$H$9:$H$128,"OK",SONDERZAHLUNGEN!$F$9:$F$128,"Ja")))</x:f>
      </x:c>
      <x:c r="H146" s="88" t="str">
        <x:f>IF(C146="","",MIN(MAX(0,D146+E146-F146-G146),MAX(0,IF(MONATSBUDGET!$C$14="",0,MONATSBUDGET!$C$14)-SUM(F140:F159)-SUM(H140:H145))))</x:f>
      </x:c>
      <x:c r="I146" s="88" t="str">
        <x:f>IF(C146="","",MAX(0,ROUND(D146+E146-F146-G146-H146,2)))</x:f>
      </x:c>
      <x:c r="J146" s="88" t="str">
        <x:f>IF(C146="","",F146+G146+H146)</x:f>
      </x:c>
      <x:c r="K146" s="88" t="str">
        <x:f>IF(C146="","",MAX(0,SUMIFS(SONDERZAHLUNGEN!$E$9:$E$128,SONDERZAHLUNGEN!$B$9:$B$128,C146,SONDERZAHLUNGEN!$C$9:$C$128,A146,SONDERZAHLUNGEN!$H$9:$H$128,"OK",SONDERZAHLUNGEN!$F$9:$F$128,"Ja")-G146))</x:f>
      </x:c>
    </x:row>
    <x:row r="147" ht="19" customHeight="1">
      <x:c r="A147" s="90" t="n">
        <x:f>MONATSBUDGET!$A$14</x:f>
        <x:v>46419</x:v>
      </x:c>
      <x:c r="B147" t="n">
        <x:f>8</x:f>
        <x:v>8</x:v>
      </x:c>
      <x:c r="C147" t="str">
        <x:f>IF($N$16="","",$N$16)</x:f>
      </x:c>
      <x:c r="D147" s="88" t="str">
        <x:f>IF(C147="","",I127)</x:f>
      </x:c>
      <x:c r="E147" s="88" t="str">
        <x:f>IF(C147="","",ROUND(D147*$P$16/12,2))</x:f>
      </x:c>
      <x:c r="F147" s="88" t="str">
        <x:f>IF(C147="","",MIN(D147+E147,$Q$16))</x:f>
      </x:c>
      <x:c r="G147" s="88" t="str">
        <x:f>IF(C147="","",MIN(MAX(0,D147+E147-F147),SUMIFS(SONDERZAHLUNGEN!$E$9:$E$128,SONDERZAHLUNGEN!$B$9:$B$128,C147,SONDERZAHLUNGEN!$C$9:$C$128,A147,SONDERZAHLUNGEN!$H$9:$H$128,"OK",SONDERZAHLUNGEN!$F$9:$F$128,"Ja")))</x:f>
      </x:c>
      <x:c r="H147" s="88" t="str">
        <x:f>IF(C147="","",MIN(MAX(0,D147+E147-F147-G147),MAX(0,IF(MONATSBUDGET!$C$14="",0,MONATSBUDGET!$C$14)-SUM(F140:F159)-SUM(H140:H146))))</x:f>
      </x:c>
      <x:c r="I147" s="88" t="str">
        <x:f>IF(C147="","",MAX(0,ROUND(D147+E147-F147-G147-H147,2)))</x:f>
      </x:c>
      <x:c r="J147" s="88" t="str">
        <x:f>IF(C147="","",F147+G147+H147)</x:f>
      </x:c>
      <x:c r="K147" s="88" t="str">
        <x:f>IF(C147="","",MAX(0,SUMIFS(SONDERZAHLUNGEN!$E$9:$E$128,SONDERZAHLUNGEN!$B$9:$B$128,C147,SONDERZAHLUNGEN!$C$9:$C$128,A147,SONDERZAHLUNGEN!$H$9:$H$128,"OK",SONDERZAHLUNGEN!$F$9:$F$128,"Ja")-G147))</x:f>
      </x:c>
    </x:row>
    <x:row r="148" ht="19" customHeight="1">
      <x:c r="A148" s="90" t="n">
        <x:f>MONATSBUDGET!$A$14</x:f>
        <x:v>46419</x:v>
      </x:c>
      <x:c r="B148" t="n">
        <x:f>9</x:f>
        <x:v>9</x:v>
      </x:c>
      <x:c r="C148" t="str">
        <x:f>IF($N$17="","",$N$17)</x:f>
      </x:c>
      <x:c r="D148" s="88" t="str">
        <x:f>IF(C148="","",I128)</x:f>
      </x:c>
      <x:c r="E148" s="88" t="str">
        <x:f>IF(C148="","",ROUND(D148*$P$17/12,2))</x:f>
      </x:c>
      <x:c r="F148" s="88" t="str">
        <x:f>IF(C148="","",MIN(D148+E148,$Q$17))</x:f>
      </x:c>
      <x:c r="G148" s="88" t="str">
        <x:f>IF(C148="","",MIN(MAX(0,D148+E148-F148),SUMIFS(SONDERZAHLUNGEN!$E$9:$E$128,SONDERZAHLUNGEN!$B$9:$B$128,C148,SONDERZAHLUNGEN!$C$9:$C$128,A148,SONDERZAHLUNGEN!$H$9:$H$128,"OK",SONDERZAHLUNGEN!$F$9:$F$128,"Ja")))</x:f>
      </x:c>
      <x:c r="H148" s="88" t="str">
        <x:f>IF(C148="","",MIN(MAX(0,D148+E148-F148-G148),MAX(0,IF(MONATSBUDGET!$C$14="",0,MONATSBUDGET!$C$14)-SUM(F140:F159)-SUM(H140:H147))))</x:f>
      </x:c>
      <x:c r="I148" s="88" t="str">
        <x:f>IF(C148="","",MAX(0,ROUND(D148+E148-F148-G148-H148,2)))</x:f>
      </x:c>
      <x:c r="J148" s="88" t="str">
        <x:f>IF(C148="","",F148+G148+H148)</x:f>
      </x:c>
      <x:c r="K148" s="88" t="str">
        <x:f>IF(C148="","",MAX(0,SUMIFS(SONDERZAHLUNGEN!$E$9:$E$128,SONDERZAHLUNGEN!$B$9:$B$128,C148,SONDERZAHLUNGEN!$C$9:$C$128,A148,SONDERZAHLUNGEN!$H$9:$H$128,"OK",SONDERZAHLUNGEN!$F$9:$F$128,"Ja")-G148))</x:f>
      </x:c>
    </x:row>
    <x:row r="149" ht="19" customHeight="1">
      <x:c r="A149" s="90" t="n">
        <x:f>MONATSBUDGET!$A$14</x:f>
        <x:v>46419</x:v>
      </x:c>
      <x:c r="B149" t="n">
        <x:f>10</x:f>
        <x:v>10</x:v>
      </x:c>
      <x:c r="C149" t="str">
        <x:f>IF($N$18="","",$N$18)</x:f>
      </x:c>
      <x:c r="D149" s="88" t="str">
        <x:f>IF(C149="","",I129)</x:f>
      </x:c>
      <x:c r="E149" s="88" t="str">
        <x:f>IF(C149="","",ROUND(D149*$P$18/12,2))</x:f>
      </x:c>
      <x:c r="F149" s="88" t="str">
        <x:f>IF(C149="","",MIN(D149+E149,$Q$18))</x:f>
      </x:c>
      <x:c r="G149" s="88" t="str">
        <x:f>IF(C149="","",MIN(MAX(0,D149+E149-F149),SUMIFS(SONDERZAHLUNGEN!$E$9:$E$128,SONDERZAHLUNGEN!$B$9:$B$128,C149,SONDERZAHLUNGEN!$C$9:$C$128,A149,SONDERZAHLUNGEN!$H$9:$H$128,"OK",SONDERZAHLUNGEN!$F$9:$F$128,"Ja")))</x:f>
      </x:c>
      <x:c r="H149" s="88" t="str">
        <x:f>IF(C149="","",MIN(MAX(0,D149+E149-F149-G149),MAX(0,IF(MONATSBUDGET!$C$14="",0,MONATSBUDGET!$C$14)-SUM(F140:F159)-SUM(H140:H148))))</x:f>
      </x:c>
      <x:c r="I149" s="88" t="str">
        <x:f>IF(C149="","",MAX(0,ROUND(D149+E149-F149-G149-H149,2)))</x:f>
      </x:c>
      <x:c r="J149" s="88" t="str">
        <x:f>IF(C149="","",F149+G149+H149)</x:f>
      </x:c>
      <x:c r="K149" s="88" t="str">
        <x:f>IF(C149="","",MAX(0,SUMIFS(SONDERZAHLUNGEN!$E$9:$E$128,SONDERZAHLUNGEN!$B$9:$B$128,C149,SONDERZAHLUNGEN!$C$9:$C$128,A149,SONDERZAHLUNGEN!$H$9:$H$128,"OK",SONDERZAHLUNGEN!$F$9:$F$128,"Ja")-G149))</x:f>
      </x:c>
    </x:row>
    <x:row r="150" ht="19" customHeight="1">
      <x:c r="A150" s="90" t="n">
        <x:f>MONATSBUDGET!$A$14</x:f>
        <x:v>46419</x:v>
      </x:c>
      <x:c r="B150" t="n">
        <x:f>11</x:f>
        <x:v>11</x:v>
      </x:c>
      <x:c r="C150" t="str">
        <x:f>IF($N$19="","",$N$19)</x:f>
      </x:c>
      <x:c r="D150" s="88" t="str">
        <x:f>IF(C150="","",I130)</x:f>
      </x:c>
      <x:c r="E150" s="88" t="str">
        <x:f>IF(C150="","",ROUND(D150*$P$19/12,2))</x:f>
      </x:c>
      <x:c r="F150" s="88" t="str">
        <x:f>IF(C150="","",MIN(D150+E150,$Q$19))</x:f>
      </x:c>
      <x:c r="G150" s="88" t="str">
        <x:f>IF(C150="","",MIN(MAX(0,D150+E150-F150),SUMIFS(SONDERZAHLUNGEN!$E$9:$E$128,SONDERZAHLUNGEN!$B$9:$B$128,C150,SONDERZAHLUNGEN!$C$9:$C$128,A150,SONDERZAHLUNGEN!$H$9:$H$128,"OK",SONDERZAHLUNGEN!$F$9:$F$128,"Ja")))</x:f>
      </x:c>
      <x:c r="H150" s="88" t="str">
        <x:f>IF(C150="","",MIN(MAX(0,D150+E150-F150-G150),MAX(0,IF(MONATSBUDGET!$C$14="",0,MONATSBUDGET!$C$14)-SUM(F140:F159)-SUM(H140:H149))))</x:f>
      </x:c>
      <x:c r="I150" s="88" t="str">
        <x:f>IF(C150="","",MAX(0,ROUND(D150+E150-F150-G150-H150,2)))</x:f>
      </x:c>
      <x:c r="J150" s="88" t="str">
        <x:f>IF(C150="","",F150+G150+H150)</x:f>
      </x:c>
      <x:c r="K150" s="88" t="str">
        <x:f>IF(C150="","",MAX(0,SUMIFS(SONDERZAHLUNGEN!$E$9:$E$128,SONDERZAHLUNGEN!$B$9:$B$128,C150,SONDERZAHLUNGEN!$C$9:$C$128,A150,SONDERZAHLUNGEN!$H$9:$H$128,"OK",SONDERZAHLUNGEN!$F$9:$F$128,"Ja")-G150))</x:f>
      </x:c>
    </x:row>
    <x:row r="151" ht="19" customHeight="1">
      <x:c r="A151" s="90" t="n">
        <x:f>MONATSBUDGET!$A$14</x:f>
        <x:v>46419</x:v>
      </x:c>
      <x:c r="B151" t="n">
        <x:f>12</x:f>
        <x:v>12</x:v>
      </x:c>
      <x:c r="C151" t="str">
        <x:f>IF($N$20="","",$N$20)</x:f>
      </x:c>
      <x:c r="D151" s="88" t="str">
        <x:f>IF(C151="","",I131)</x:f>
      </x:c>
      <x:c r="E151" s="88" t="str">
        <x:f>IF(C151="","",ROUND(D151*$P$20/12,2))</x:f>
      </x:c>
      <x:c r="F151" s="88" t="str">
        <x:f>IF(C151="","",MIN(D151+E151,$Q$20))</x:f>
      </x:c>
      <x:c r="G151" s="88" t="str">
        <x:f>IF(C151="","",MIN(MAX(0,D151+E151-F151),SUMIFS(SONDERZAHLUNGEN!$E$9:$E$128,SONDERZAHLUNGEN!$B$9:$B$128,C151,SONDERZAHLUNGEN!$C$9:$C$128,A151,SONDERZAHLUNGEN!$H$9:$H$128,"OK",SONDERZAHLUNGEN!$F$9:$F$128,"Ja")))</x:f>
      </x:c>
      <x:c r="H151" s="88" t="str">
        <x:f>IF(C151="","",MIN(MAX(0,D151+E151-F151-G151),MAX(0,IF(MONATSBUDGET!$C$14="",0,MONATSBUDGET!$C$14)-SUM(F140:F159)-SUM(H140:H150))))</x:f>
      </x:c>
      <x:c r="I151" s="88" t="str">
        <x:f>IF(C151="","",MAX(0,ROUND(D151+E151-F151-G151-H151,2)))</x:f>
      </x:c>
      <x:c r="J151" s="88" t="str">
        <x:f>IF(C151="","",F151+G151+H151)</x:f>
      </x:c>
      <x:c r="K151" s="88" t="str">
        <x:f>IF(C151="","",MAX(0,SUMIFS(SONDERZAHLUNGEN!$E$9:$E$128,SONDERZAHLUNGEN!$B$9:$B$128,C151,SONDERZAHLUNGEN!$C$9:$C$128,A151,SONDERZAHLUNGEN!$H$9:$H$128,"OK",SONDERZAHLUNGEN!$F$9:$F$128,"Ja")-G151))</x:f>
      </x:c>
    </x:row>
    <x:row r="152" ht="19" customHeight="1">
      <x:c r="A152" s="90" t="n">
        <x:f>MONATSBUDGET!$A$14</x:f>
        <x:v>46419</x:v>
      </x:c>
      <x:c r="B152" t="n">
        <x:f>13</x:f>
        <x:v>13</x:v>
      </x:c>
      <x:c r="C152" t="str">
        <x:f>IF($N$21="","",$N$21)</x:f>
      </x:c>
      <x:c r="D152" s="88" t="str">
        <x:f>IF(C152="","",I132)</x:f>
      </x:c>
      <x:c r="E152" s="88" t="str">
        <x:f>IF(C152="","",ROUND(D152*$P$21/12,2))</x:f>
      </x:c>
      <x:c r="F152" s="88" t="str">
        <x:f>IF(C152="","",MIN(D152+E152,$Q$21))</x:f>
      </x:c>
      <x:c r="G152" s="88" t="str">
        <x:f>IF(C152="","",MIN(MAX(0,D152+E152-F152),SUMIFS(SONDERZAHLUNGEN!$E$9:$E$128,SONDERZAHLUNGEN!$B$9:$B$128,C152,SONDERZAHLUNGEN!$C$9:$C$128,A152,SONDERZAHLUNGEN!$H$9:$H$128,"OK",SONDERZAHLUNGEN!$F$9:$F$128,"Ja")))</x:f>
      </x:c>
      <x:c r="H152" s="88" t="str">
        <x:f>IF(C152="","",MIN(MAX(0,D152+E152-F152-G152),MAX(0,IF(MONATSBUDGET!$C$14="",0,MONATSBUDGET!$C$14)-SUM(F140:F159)-SUM(H140:H151))))</x:f>
      </x:c>
      <x:c r="I152" s="88" t="str">
        <x:f>IF(C152="","",MAX(0,ROUND(D152+E152-F152-G152-H152,2)))</x:f>
      </x:c>
      <x:c r="J152" s="88" t="str">
        <x:f>IF(C152="","",F152+G152+H152)</x:f>
      </x:c>
      <x:c r="K152" s="88" t="str">
        <x:f>IF(C152="","",MAX(0,SUMIFS(SONDERZAHLUNGEN!$E$9:$E$128,SONDERZAHLUNGEN!$B$9:$B$128,C152,SONDERZAHLUNGEN!$C$9:$C$128,A152,SONDERZAHLUNGEN!$H$9:$H$128,"OK",SONDERZAHLUNGEN!$F$9:$F$128,"Ja")-G152))</x:f>
      </x:c>
    </x:row>
    <x:row r="153" ht="19" customHeight="1">
      <x:c r="A153" s="90" t="n">
        <x:f>MONATSBUDGET!$A$14</x:f>
        <x:v>46419</x:v>
      </x:c>
      <x:c r="B153" t="n">
        <x:f>14</x:f>
        <x:v>14</x:v>
      </x:c>
      <x:c r="C153" t="str">
        <x:f>IF($N$22="","",$N$22)</x:f>
      </x:c>
      <x:c r="D153" s="88" t="str">
        <x:f>IF(C153="","",I133)</x:f>
      </x:c>
      <x:c r="E153" s="88" t="str">
        <x:f>IF(C153="","",ROUND(D153*$P$22/12,2))</x:f>
      </x:c>
      <x:c r="F153" s="88" t="str">
        <x:f>IF(C153="","",MIN(D153+E153,$Q$22))</x:f>
      </x:c>
      <x:c r="G153" s="88" t="str">
        <x:f>IF(C153="","",MIN(MAX(0,D153+E153-F153),SUMIFS(SONDERZAHLUNGEN!$E$9:$E$128,SONDERZAHLUNGEN!$B$9:$B$128,C153,SONDERZAHLUNGEN!$C$9:$C$128,A153,SONDERZAHLUNGEN!$H$9:$H$128,"OK",SONDERZAHLUNGEN!$F$9:$F$128,"Ja")))</x:f>
      </x:c>
      <x:c r="H153" s="88" t="str">
        <x:f>IF(C153="","",MIN(MAX(0,D153+E153-F153-G153),MAX(0,IF(MONATSBUDGET!$C$14="",0,MONATSBUDGET!$C$14)-SUM(F140:F159)-SUM(H140:H152))))</x:f>
      </x:c>
      <x:c r="I153" s="88" t="str">
        <x:f>IF(C153="","",MAX(0,ROUND(D153+E153-F153-G153-H153,2)))</x:f>
      </x:c>
      <x:c r="J153" s="88" t="str">
        <x:f>IF(C153="","",F153+G153+H153)</x:f>
      </x:c>
      <x:c r="K153" s="88" t="str">
        <x:f>IF(C153="","",MAX(0,SUMIFS(SONDERZAHLUNGEN!$E$9:$E$128,SONDERZAHLUNGEN!$B$9:$B$128,C153,SONDERZAHLUNGEN!$C$9:$C$128,A153,SONDERZAHLUNGEN!$H$9:$H$128,"OK",SONDERZAHLUNGEN!$F$9:$F$128,"Ja")-G153))</x:f>
      </x:c>
    </x:row>
    <x:row r="154" ht="19" customHeight="1">
      <x:c r="A154" s="90" t="n">
        <x:f>MONATSBUDGET!$A$14</x:f>
        <x:v>46419</x:v>
      </x:c>
      <x:c r="B154" t="n">
        <x:f>15</x:f>
        <x:v>15</x:v>
      </x:c>
      <x:c r="C154" t="str">
        <x:f>IF($N$23="","",$N$23)</x:f>
      </x:c>
      <x:c r="D154" s="88" t="str">
        <x:f>IF(C154="","",I134)</x:f>
      </x:c>
      <x:c r="E154" s="88" t="str">
        <x:f>IF(C154="","",ROUND(D154*$P$23/12,2))</x:f>
      </x:c>
      <x:c r="F154" s="88" t="str">
        <x:f>IF(C154="","",MIN(D154+E154,$Q$23))</x:f>
      </x:c>
      <x:c r="G154" s="88" t="str">
        <x:f>IF(C154="","",MIN(MAX(0,D154+E154-F154),SUMIFS(SONDERZAHLUNGEN!$E$9:$E$128,SONDERZAHLUNGEN!$B$9:$B$128,C154,SONDERZAHLUNGEN!$C$9:$C$128,A154,SONDERZAHLUNGEN!$H$9:$H$128,"OK",SONDERZAHLUNGEN!$F$9:$F$128,"Ja")))</x:f>
      </x:c>
      <x:c r="H154" s="88" t="str">
        <x:f>IF(C154="","",MIN(MAX(0,D154+E154-F154-G154),MAX(0,IF(MONATSBUDGET!$C$14="",0,MONATSBUDGET!$C$14)-SUM(F140:F159)-SUM(H140:H153))))</x:f>
      </x:c>
      <x:c r="I154" s="88" t="str">
        <x:f>IF(C154="","",MAX(0,ROUND(D154+E154-F154-G154-H154,2)))</x:f>
      </x:c>
      <x:c r="J154" s="88" t="str">
        <x:f>IF(C154="","",F154+G154+H154)</x:f>
      </x:c>
      <x:c r="K154" s="88" t="str">
        <x:f>IF(C154="","",MAX(0,SUMIFS(SONDERZAHLUNGEN!$E$9:$E$128,SONDERZAHLUNGEN!$B$9:$B$128,C154,SONDERZAHLUNGEN!$C$9:$C$128,A154,SONDERZAHLUNGEN!$H$9:$H$128,"OK",SONDERZAHLUNGEN!$F$9:$F$128,"Ja")-G154))</x:f>
      </x:c>
    </x:row>
    <x:row r="155" ht="19" customHeight="1">
      <x:c r="A155" s="90" t="n">
        <x:f>MONATSBUDGET!$A$14</x:f>
        <x:v>46419</x:v>
      </x:c>
      <x:c r="B155" t="n">
        <x:f>16</x:f>
        <x:v>16</x:v>
      </x:c>
      <x:c r="C155" t="str">
        <x:f>IF($N$24="","",$N$24)</x:f>
      </x:c>
      <x:c r="D155" s="88" t="str">
        <x:f>IF(C155="","",I135)</x:f>
      </x:c>
      <x:c r="E155" s="88" t="str">
        <x:f>IF(C155="","",ROUND(D155*$P$24/12,2))</x:f>
      </x:c>
      <x:c r="F155" s="88" t="str">
        <x:f>IF(C155="","",MIN(D155+E155,$Q$24))</x:f>
      </x:c>
      <x:c r="G155" s="88" t="str">
        <x:f>IF(C155="","",MIN(MAX(0,D155+E155-F155),SUMIFS(SONDERZAHLUNGEN!$E$9:$E$128,SONDERZAHLUNGEN!$B$9:$B$128,C155,SONDERZAHLUNGEN!$C$9:$C$128,A155,SONDERZAHLUNGEN!$H$9:$H$128,"OK",SONDERZAHLUNGEN!$F$9:$F$128,"Ja")))</x:f>
      </x:c>
      <x:c r="H155" s="88" t="str">
        <x:f>IF(C155="","",MIN(MAX(0,D155+E155-F155-G155),MAX(0,IF(MONATSBUDGET!$C$14="",0,MONATSBUDGET!$C$14)-SUM(F140:F159)-SUM(H140:H154))))</x:f>
      </x:c>
      <x:c r="I155" s="88" t="str">
        <x:f>IF(C155="","",MAX(0,ROUND(D155+E155-F155-G155-H155,2)))</x:f>
      </x:c>
      <x:c r="J155" s="88" t="str">
        <x:f>IF(C155="","",F155+G155+H155)</x:f>
      </x:c>
      <x:c r="K155" s="88" t="str">
        <x:f>IF(C155="","",MAX(0,SUMIFS(SONDERZAHLUNGEN!$E$9:$E$128,SONDERZAHLUNGEN!$B$9:$B$128,C155,SONDERZAHLUNGEN!$C$9:$C$128,A155,SONDERZAHLUNGEN!$H$9:$H$128,"OK",SONDERZAHLUNGEN!$F$9:$F$128,"Ja")-G155))</x:f>
      </x:c>
    </x:row>
    <x:row r="156" ht="19" customHeight="1">
      <x:c r="A156" s="90" t="n">
        <x:f>MONATSBUDGET!$A$14</x:f>
        <x:v>46419</x:v>
      </x:c>
      <x:c r="B156" t="n">
        <x:f>17</x:f>
        <x:v>17</x:v>
      </x:c>
      <x:c r="C156" t="str">
        <x:f>IF($N$25="","",$N$25)</x:f>
      </x:c>
      <x:c r="D156" s="88" t="str">
        <x:f>IF(C156="","",I136)</x:f>
      </x:c>
      <x:c r="E156" s="88" t="str">
        <x:f>IF(C156="","",ROUND(D156*$P$25/12,2))</x:f>
      </x:c>
      <x:c r="F156" s="88" t="str">
        <x:f>IF(C156="","",MIN(D156+E156,$Q$25))</x:f>
      </x:c>
      <x:c r="G156" s="88" t="str">
        <x:f>IF(C156="","",MIN(MAX(0,D156+E156-F156),SUMIFS(SONDERZAHLUNGEN!$E$9:$E$128,SONDERZAHLUNGEN!$B$9:$B$128,C156,SONDERZAHLUNGEN!$C$9:$C$128,A156,SONDERZAHLUNGEN!$H$9:$H$128,"OK",SONDERZAHLUNGEN!$F$9:$F$128,"Ja")))</x:f>
      </x:c>
      <x:c r="H156" s="88" t="str">
        <x:f>IF(C156="","",MIN(MAX(0,D156+E156-F156-G156),MAX(0,IF(MONATSBUDGET!$C$14="",0,MONATSBUDGET!$C$14)-SUM(F140:F159)-SUM(H140:H155))))</x:f>
      </x:c>
      <x:c r="I156" s="88" t="str">
        <x:f>IF(C156="","",MAX(0,ROUND(D156+E156-F156-G156-H156,2)))</x:f>
      </x:c>
      <x:c r="J156" s="88" t="str">
        <x:f>IF(C156="","",F156+G156+H156)</x:f>
      </x:c>
      <x:c r="K156" s="88" t="str">
        <x:f>IF(C156="","",MAX(0,SUMIFS(SONDERZAHLUNGEN!$E$9:$E$128,SONDERZAHLUNGEN!$B$9:$B$128,C156,SONDERZAHLUNGEN!$C$9:$C$128,A156,SONDERZAHLUNGEN!$H$9:$H$128,"OK",SONDERZAHLUNGEN!$F$9:$F$128,"Ja")-G156))</x:f>
      </x:c>
    </x:row>
    <x:row r="157" ht="19" customHeight="1">
      <x:c r="A157" s="90" t="n">
        <x:f>MONATSBUDGET!$A$14</x:f>
        <x:v>46419</x:v>
      </x:c>
      <x:c r="B157" t="n">
        <x:f>18</x:f>
        <x:v>18</x:v>
      </x:c>
      <x:c r="C157" t="str">
        <x:f>IF($N$26="","",$N$26)</x:f>
      </x:c>
      <x:c r="D157" s="88" t="str">
        <x:f>IF(C157="","",I137)</x:f>
      </x:c>
      <x:c r="E157" s="88" t="str">
        <x:f>IF(C157="","",ROUND(D157*$P$26/12,2))</x:f>
      </x:c>
      <x:c r="F157" s="88" t="str">
        <x:f>IF(C157="","",MIN(D157+E157,$Q$26))</x:f>
      </x:c>
      <x:c r="G157" s="88" t="str">
        <x:f>IF(C157="","",MIN(MAX(0,D157+E157-F157),SUMIFS(SONDERZAHLUNGEN!$E$9:$E$128,SONDERZAHLUNGEN!$B$9:$B$128,C157,SONDERZAHLUNGEN!$C$9:$C$128,A157,SONDERZAHLUNGEN!$H$9:$H$128,"OK",SONDERZAHLUNGEN!$F$9:$F$128,"Ja")))</x:f>
      </x:c>
      <x:c r="H157" s="88" t="str">
        <x:f>IF(C157="","",MIN(MAX(0,D157+E157-F157-G157),MAX(0,IF(MONATSBUDGET!$C$14="",0,MONATSBUDGET!$C$14)-SUM(F140:F159)-SUM(H140:H156))))</x:f>
      </x:c>
      <x:c r="I157" s="88" t="str">
        <x:f>IF(C157="","",MAX(0,ROUND(D157+E157-F157-G157-H157,2)))</x:f>
      </x:c>
      <x:c r="J157" s="88" t="str">
        <x:f>IF(C157="","",F157+G157+H157)</x:f>
      </x:c>
      <x:c r="K157" s="88" t="str">
        <x:f>IF(C157="","",MAX(0,SUMIFS(SONDERZAHLUNGEN!$E$9:$E$128,SONDERZAHLUNGEN!$B$9:$B$128,C157,SONDERZAHLUNGEN!$C$9:$C$128,A157,SONDERZAHLUNGEN!$H$9:$H$128,"OK",SONDERZAHLUNGEN!$F$9:$F$128,"Ja")-G157))</x:f>
      </x:c>
    </x:row>
    <x:row r="158" ht="19" customHeight="1">
      <x:c r="A158" s="90" t="n">
        <x:f>MONATSBUDGET!$A$14</x:f>
        <x:v>46419</x:v>
      </x:c>
      <x:c r="B158" t="n">
        <x:f>19</x:f>
        <x:v>19</x:v>
      </x:c>
      <x:c r="C158" t="str">
        <x:f>IF($N$27="","",$N$27)</x:f>
      </x:c>
      <x:c r="D158" s="88" t="str">
        <x:f>IF(C158="","",I138)</x:f>
      </x:c>
      <x:c r="E158" s="88" t="str">
        <x:f>IF(C158="","",ROUND(D158*$P$27/12,2))</x:f>
      </x:c>
      <x:c r="F158" s="88" t="str">
        <x:f>IF(C158="","",MIN(D158+E158,$Q$27))</x:f>
      </x:c>
      <x:c r="G158" s="88" t="str">
        <x:f>IF(C158="","",MIN(MAX(0,D158+E158-F158),SUMIFS(SONDERZAHLUNGEN!$E$9:$E$128,SONDERZAHLUNGEN!$B$9:$B$128,C158,SONDERZAHLUNGEN!$C$9:$C$128,A158,SONDERZAHLUNGEN!$H$9:$H$128,"OK",SONDERZAHLUNGEN!$F$9:$F$128,"Ja")))</x:f>
      </x:c>
      <x:c r="H158" s="88" t="str">
        <x:f>IF(C158="","",MIN(MAX(0,D158+E158-F158-G158),MAX(0,IF(MONATSBUDGET!$C$14="",0,MONATSBUDGET!$C$14)-SUM(F140:F159)-SUM(H140:H157))))</x:f>
      </x:c>
      <x:c r="I158" s="88" t="str">
        <x:f>IF(C158="","",MAX(0,ROUND(D158+E158-F158-G158-H158,2)))</x:f>
      </x:c>
      <x:c r="J158" s="88" t="str">
        <x:f>IF(C158="","",F158+G158+H158)</x:f>
      </x:c>
      <x:c r="K158" s="88" t="str">
        <x:f>IF(C158="","",MAX(0,SUMIFS(SONDERZAHLUNGEN!$E$9:$E$128,SONDERZAHLUNGEN!$B$9:$B$128,C158,SONDERZAHLUNGEN!$C$9:$C$128,A158,SONDERZAHLUNGEN!$H$9:$H$128,"OK",SONDERZAHLUNGEN!$F$9:$F$128,"Ja")-G158))</x:f>
      </x:c>
    </x:row>
    <x:row r="159" ht="19" customHeight="1">
      <x:c r="A159" s="90" t="n">
        <x:f>MONATSBUDGET!$A$14</x:f>
        <x:v>46419</x:v>
      </x:c>
      <x:c r="B159" t="n">
        <x:f>20</x:f>
        <x:v>20</x:v>
      </x:c>
      <x:c r="C159" t="str">
        <x:f>IF($N$28="","",$N$28)</x:f>
      </x:c>
      <x:c r="D159" s="88" t="str">
        <x:f>IF(C159="","",I139)</x:f>
      </x:c>
      <x:c r="E159" s="88" t="str">
        <x:f>IF(C159="","",ROUND(D159*$P$28/12,2))</x:f>
      </x:c>
      <x:c r="F159" s="88" t="str">
        <x:f>IF(C159="","",MIN(D159+E159,$Q$28))</x:f>
      </x:c>
      <x:c r="G159" s="88" t="str">
        <x:f>IF(C159="","",MIN(MAX(0,D159+E159-F159),SUMIFS(SONDERZAHLUNGEN!$E$9:$E$128,SONDERZAHLUNGEN!$B$9:$B$128,C159,SONDERZAHLUNGEN!$C$9:$C$128,A159,SONDERZAHLUNGEN!$H$9:$H$128,"OK",SONDERZAHLUNGEN!$F$9:$F$128,"Ja")))</x:f>
      </x:c>
      <x:c r="H159" s="88" t="str">
        <x:f>IF(C159="","",MIN(MAX(0,D159+E159-F159-G159),MAX(0,IF(MONATSBUDGET!$C$14="",0,MONATSBUDGET!$C$14)-SUM(F140:F159)-SUM(H140:H158))))</x:f>
      </x:c>
      <x:c r="I159" s="88" t="str">
        <x:f>IF(C159="","",MAX(0,ROUND(D159+E159-F159-G159-H159,2)))</x:f>
      </x:c>
      <x:c r="J159" s="88" t="str">
        <x:f>IF(C159="","",F159+G159+H159)</x:f>
      </x:c>
      <x:c r="K159" s="88" t="str">
        <x:f>IF(C159="","",MAX(0,SUMIFS(SONDERZAHLUNGEN!$E$9:$E$128,SONDERZAHLUNGEN!$B$9:$B$128,C159,SONDERZAHLUNGEN!$C$9:$C$128,A159,SONDERZAHLUNGEN!$H$9:$H$128,"OK",SONDERZAHLUNGEN!$F$9:$F$128,"Ja")-G159))</x:f>
      </x:c>
    </x:row>
    <x:row r="160" ht="19" customHeight="1">
      <x:c r="A160" s="90" t="n">
        <x:f>MONATSBUDGET!$A$15</x:f>
        <x:v>46447</x:v>
      </x:c>
      <x:c r="B160" t="n">
        <x:f>1</x:f>
        <x:v>1</x:v>
      </x:c>
      <x:c r="C160" t="str">
        <x:f>IF($N$9="","",$N$9)</x:f>
      </x:c>
      <x:c r="D160" s="88" t="str">
        <x:f>IF(C160="","",I140)</x:f>
      </x:c>
      <x:c r="E160" s="88" t="str">
        <x:f>IF(C160="","",ROUND(D160*$P$9/12,2))</x:f>
      </x:c>
      <x:c r="F160" s="88" t="str">
        <x:f>IF(C160="","",MIN(D160+E160,$Q$9))</x:f>
      </x:c>
      <x:c r="G160" s="88" t="str">
        <x:f>IF(C160="","",MIN(MAX(0,D160+E160-F160),SUMIFS(SONDERZAHLUNGEN!$E$9:$E$128,SONDERZAHLUNGEN!$B$9:$B$128,C160,SONDERZAHLUNGEN!$C$9:$C$128,A160,SONDERZAHLUNGEN!$H$9:$H$128,"OK",SONDERZAHLUNGEN!$F$9:$F$128,"Ja")))</x:f>
      </x:c>
      <x:c r="H160" s="88" t="str">
        <x:f>IF(C160="","",MIN(MAX(0,D160+E160-F160-G160),MAX(0,IF(MONATSBUDGET!$C$15="",0,MONATSBUDGET!$C$15)-SUM(F160:F179)-0)))</x:f>
      </x:c>
      <x:c r="I160" s="88" t="str">
        <x:f>IF(C160="","",MAX(0,ROUND(D160+E160-F160-G160-H160,2)))</x:f>
      </x:c>
      <x:c r="J160" s="88" t="str">
        <x:f>IF(C160="","",F160+G160+H160)</x:f>
      </x:c>
      <x:c r="K160" s="88" t="str">
        <x:f>IF(C160="","",MAX(0,SUMIFS(SONDERZAHLUNGEN!$E$9:$E$128,SONDERZAHLUNGEN!$B$9:$B$128,C160,SONDERZAHLUNGEN!$C$9:$C$128,A160,SONDERZAHLUNGEN!$H$9:$H$128,"OK",SONDERZAHLUNGEN!$F$9:$F$128,"Ja")-G160))</x:f>
      </x:c>
    </x:row>
    <x:row r="161" ht="19" customHeight="1">
      <x:c r="A161" s="90" t="n">
        <x:f>MONATSBUDGET!$A$15</x:f>
        <x:v>46447</x:v>
      </x:c>
      <x:c r="B161" t="n">
        <x:f>2</x:f>
        <x:v>2</x:v>
      </x:c>
      <x:c r="C161" t="str">
        <x:f>IF($N$10="","",$N$10)</x:f>
      </x:c>
      <x:c r="D161" s="88" t="str">
        <x:f>IF(C161="","",I141)</x:f>
      </x:c>
      <x:c r="E161" s="88" t="str">
        <x:f>IF(C161="","",ROUND(D161*$P$10/12,2))</x:f>
      </x:c>
      <x:c r="F161" s="88" t="str">
        <x:f>IF(C161="","",MIN(D161+E161,$Q$10))</x:f>
      </x:c>
      <x:c r="G161" s="88" t="str">
        <x:f>IF(C161="","",MIN(MAX(0,D161+E161-F161),SUMIFS(SONDERZAHLUNGEN!$E$9:$E$128,SONDERZAHLUNGEN!$B$9:$B$128,C161,SONDERZAHLUNGEN!$C$9:$C$128,A161,SONDERZAHLUNGEN!$H$9:$H$128,"OK",SONDERZAHLUNGEN!$F$9:$F$128,"Ja")))</x:f>
      </x:c>
      <x:c r="H161" s="88" t="str">
        <x:f>IF(C161="","",MIN(MAX(0,D161+E161-F161-G161),MAX(0,IF(MONATSBUDGET!$C$15="",0,MONATSBUDGET!$C$15)-SUM(F160:F179)-SUM(H160:H160))))</x:f>
      </x:c>
      <x:c r="I161" s="88" t="str">
        <x:f>IF(C161="","",MAX(0,ROUND(D161+E161-F161-G161-H161,2)))</x:f>
      </x:c>
      <x:c r="J161" s="88" t="str">
        <x:f>IF(C161="","",F161+G161+H161)</x:f>
      </x:c>
      <x:c r="K161" s="88" t="str">
        <x:f>IF(C161="","",MAX(0,SUMIFS(SONDERZAHLUNGEN!$E$9:$E$128,SONDERZAHLUNGEN!$B$9:$B$128,C161,SONDERZAHLUNGEN!$C$9:$C$128,A161,SONDERZAHLUNGEN!$H$9:$H$128,"OK",SONDERZAHLUNGEN!$F$9:$F$128,"Ja")-G161))</x:f>
      </x:c>
    </x:row>
    <x:row r="162" ht="19" customHeight="1">
      <x:c r="A162" s="90" t="n">
        <x:f>MONATSBUDGET!$A$15</x:f>
        <x:v>46447</x:v>
      </x:c>
      <x:c r="B162" t="n">
        <x:f>3</x:f>
        <x:v>3</x:v>
      </x:c>
      <x:c r="C162" t="str">
        <x:f>IF($N$11="","",$N$11)</x:f>
      </x:c>
      <x:c r="D162" s="88" t="str">
        <x:f>IF(C162="","",I142)</x:f>
      </x:c>
      <x:c r="E162" s="88" t="str">
        <x:f>IF(C162="","",ROUND(D162*$P$11/12,2))</x:f>
      </x:c>
      <x:c r="F162" s="88" t="str">
        <x:f>IF(C162="","",MIN(D162+E162,$Q$11))</x:f>
      </x:c>
      <x:c r="G162" s="88" t="str">
        <x:f>IF(C162="","",MIN(MAX(0,D162+E162-F162),SUMIFS(SONDERZAHLUNGEN!$E$9:$E$128,SONDERZAHLUNGEN!$B$9:$B$128,C162,SONDERZAHLUNGEN!$C$9:$C$128,A162,SONDERZAHLUNGEN!$H$9:$H$128,"OK",SONDERZAHLUNGEN!$F$9:$F$128,"Ja")))</x:f>
      </x:c>
      <x:c r="H162" s="88" t="str">
        <x:f>IF(C162="","",MIN(MAX(0,D162+E162-F162-G162),MAX(0,IF(MONATSBUDGET!$C$15="",0,MONATSBUDGET!$C$15)-SUM(F160:F179)-SUM(H160:H161))))</x:f>
      </x:c>
      <x:c r="I162" s="88" t="str">
        <x:f>IF(C162="","",MAX(0,ROUND(D162+E162-F162-G162-H162,2)))</x:f>
      </x:c>
      <x:c r="J162" s="88" t="str">
        <x:f>IF(C162="","",F162+G162+H162)</x:f>
      </x:c>
      <x:c r="K162" s="88" t="str">
        <x:f>IF(C162="","",MAX(0,SUMIFS(SONDERZAHLUNGEN!$E$9:$E$128,SONDERZAHLUNGEN!$B$9:$B$128,C162,SONDERZAHLUNGEN!$C$9:$C$128,A162,SONDERZAHLUNGEN!$H$9:$H$128,"OK",SONDERZAHLUNGEN!$F$9:$F$128,"Ja")-G162))</x:f>
      </x:c>
    </x:row>
    <x:row r="163" ht="19" customHeight="1">
      <x:c r="A163" s="90" t="n">
        <x:f>MONATSBUDGET!$A$15</x:f>
        <x:v>46447</x:v>
      </x:c>
      <x:c r="B163" t="n">
        <x:f>4</x:f>
        <x:v>4</x:v>
      </x:c>
      <x:c r="C163" t="str">
        <x:f>IF($N$12="","",$N$12)</x:f>
      </x:c>
      <x:c r="D163" s="88" t="str">
        <x:f>IF(C163="","",I143)</x:f>
      </x:c>
      <x:c r="E163" s="88" t="str">
        <x:f>IF(C163="","",ROUND(D163*$P$12/12,2))</x:f>
      </x:c>
      <x:c r="F163" s="88" t="str">
        <x:f>IF(C163="","",MIN(D163+E163,$Q$12))</x:f>
      </x:c>
      <x:c r="G163" s="88" t="str">
        <x:f>IF(C163="","",MIN(MAX(0,D163+E163-F163),SUMIFS(SONDERZAHLUNGEN!$E$9:$E$128,SONDERZAHLUNGEN!$B$9:$B$128,C163,SONDERZAHLUNGEN!$C$9:$C$128,A163,SONDERZAHLUNGEN!$H$9:$H$128,"OK",SONDERZAHLUNGEN!$F$9:$F$128,"Ja")))</x:f>
      </x:c>
      <x:c r="H163" s="88" t="str">
        <x:f>IF(C163="","",MIN(MAX(0,D163+E163-F163-G163),MAX(0,IF(MONATSBUDGET!$C$15="",0,MONATSBUDGET!$C$15)-SUM(F160:F179)-SUM(H160:H162))))</x:f>
      </x:c>
      <x:c r="I163" s="88" t="str">
        <x:f>IF(C163="","",MAX(0,ROUND(D163+E163-F163-G163-H163,2)))</x:f>
      </x:c>
      <x:c r="J163" s="88" t="str">
        <x:f>IF(C163="","",F163+G163+H163)</x:f>
      </x:c>
      <x:c r="K163" s="88" t="str">
        <x:f>IF(C163="","",MAX(0,SUMIFS(SONDERZAHLUNGEN!$E$9:$E$128,SONDERZAHLUNGEN!$B$9:$B$128,C163,SONDERZAHLUNGEN!$C$9:$C$128,A163,SONDERZAHLUNGEN!$H$9:$H$128,"OK",SONDERZAHLUNGEN!$F$9:$F$128,"Ja")-G163))</x:f>
      </x:c>
    </x:row>
    <x:row r="164" ht="19" customHeight="1">
      <x:c r="A164" s="90" t="n">
        <x:f>MONATSBUDGET!$A$15</x:f>
        <x:v>46447</x:v>
      </x:c>
      <x:c r="B164" t="n">
        <x:f>5</x:f>
        <x:v>5</x:v>
      </x:c>
      <x:c r="C164" t="str">
        <x:f>IF($N$13="","",$N$13)</x:f>
      </x:c>
      <x:c r="D164" s="88" t="str">
        <x:f>IF(C164="","",I144)</x:f>
      </x:c>
      <x:c r="E164" s="88" t="str">
        <x:f>IF(C164="","",ROUND(D164*$P$13/12,2))</x:f>
      </x:c>
      <x:c r="F164" s="88" t="str">
        <x:f>IF(C164="","",MIN(D164+E164,$Q$13))</x:f>
      </x:c>
      <x:c r="G164" s="88" t="str">
        <x:f>IF(C164="","",MIN(MAX(0,D164+E164-F164),SUMIFS(SONDERZAHLUNGEN!$E$9:$E$128,SONDERZAHLUNGEN!$B$9:$B$128,C164,SONDERZAHLUNGEN!$C$9:$C$128,A164,SONDERZAHLUNGEN!$H$9:$H$128,"OK",SONDERZAHLUNGEN!$F$9:$F$128,"Ja")))</x:f>
      </x:c>
      <x:c r="H164" s="88" t="str">
        <x:f>IF(C164="","",MIN(MAX(0,D164+E164-F164-G164),MAX(0,IF(MONATSBUDGET!$C$15="",0,MONATSBUDGET!$C$15)-SUM(F160:F179)-SUM(H160:H163))))</x:f>
      </x:c>
      <x:c r="I164" s="88" t="str">
        <x:f>IF(C164="","",MAX(0,ROUND(D164+E164-F164-G164-H164,2)))</x:f>
      </x:c>
      <x:c r="J164" s="88" t="str">
        <x:f>IF(C164="","",F164+G164+H164)</x:f>
      </x:c>
      <x:c r="K164" s="88" t="str">
        <x:f>IF(C164="","",MAX(0,SUMIFS(SONDERZAHLUNGEN!$E$9:$E$128,SONDERZAHLUNGEN!$B$9:$B$128,C164,SONDERZAHLUNGEN!$C$9:$C$128,A164,SONDERZAHLUNGEN!$H$9:$H$128,"OK",SONDERZAHLUNGEN!$F$9:$F$128,"Ja")-G164))</x:f>
      </x:c>
    </x:row>
    <x:row r="165" ht="19" customHeight="1">
      <x:c r="A165" s="90" t="n">
        <x:f>MONATSBUDGET!$A$15</x:f>
        <x:v>46447</x:v>
      </x:c>
      <x:c r="B165" t="n">
        <x:f>6</x:f>
        <x:v>6</x:v>
      </x:c>
      <x:c r="C165" t="str">
        <x:f>IF($N$14="","",$N$14)</x:f>
      </x:c>
      <x:c r="D165" s="88" t="str">
        <x:f>IF(C165="","",I145)</x:f>
      </x:c>
      <x:c r="E165" s="88" t="str">
        <x:f>IF(C165="","",ROUND(D165*$P$14/12,2))</x:f>
      </x:c>
      <x:c r="F165" s="88" t="str">
        <x:f>IF(C165="","",MIN(D165+E165,$Q$14))</x:f>
      </x:c>
      <x:c r="G165" s="88" t="str">
        <x:f>IF(C165="","",MIN(MAX(0,D165+E165-F165),SUMIFS(SONDERZAHLUNGEN!$E$9:$E$128,SONDERZAHLUNGEN!$B$9:$B$128,C165,SONDERZAHLUNGEN!$C$9:$C$128,A165,SONDERZAHLUNGEN!$H$9:$H$128,"OK",SONDERZAHLUNGEN!$F$9:$F$128,"Ja")))</x:f>
      </x:c>
      <x:c r="H165" s="88" t="str">
        <x:f>IF(C165="","",MIN(MAX(0,D165+E165-F165-G165),MAX(0,IF(MONATSBUDGET!$C$15="",0,MONATSBUDGET!$C$15)-SUM(F160:F179)-SUM(H160:H164))))</x:f>
      </x:c>
      <x:c r="I165" s="88" t="str">
        <x:f>IF(C165="","",MAX(0,ROUND(D165+E165-F165-G165-H165,2)))</x:f>
      </x:c>
      <x:c r="J165" s="88" t="str">
        <x:f>IF(C165="","",F165+G165+H165)</x:f>
      </x:c>
      <x:c r="K165" s="88" t="str">
        <x:f>IF(C165="","",MAX(0,SUMIFS(SONDERZAHLUNGEN!$E$9:$E$128,SONDERZAHLUNGEN!$B$9:$B$128,C165,SONDERZAHLUNGEN!$C$9:$C$128,A165,SONDERZAHLUNGEN!$H$9:$H$128,"OK",SONDERZAHLUNGEN!$F$9:$F$128,"Ja")-G165))</x:f>
      </x:c>
    </x:row>
    <x:row r="166" ht="19" customHeight="1">
      <x:c r="A166" s="90" t="n">
        <x:f>MONATSBUDGET!$A$15</x:f>
        <x:v>46447</x:v>
      </x:c>
      <x:c r="B166" t="n">
        <x:f>7</x:f>
        <x:v>7</x:v>
      </x:c>
      <x:c r="C166" t="str">
        <x:f>IF($N$15="","",$N$15)</x:f>
      </x:c>
      <x:c r="D166" s="88" t="str">
        <x:f>IF(C166="","",I146)</x:f>
      </x:c>
      <x:c r="E166" s="88" t="str">
        <x:f>IF(C166="","",ROUND(D166*$P$15/12,2))</x:f>
      </x:c>
      <x:c r="F166" s="88" t="str">
        <x:f>IF(C166="","",MIN(D166+E166,$Q$15))</x:f>
      </x:c>
      <x:c r="G166" s="88" t="str">
        <x:f>IF(C166="","",MIN(MAX(0,D166+E166-F166),SUMIFS(SONDERZAHLUNGEN!$E$9:$E$128,SONDERZAHLUNGEN!$B$9:$B$128,C166,SONDERZAHLUNGEN!$C$9:$C$128,A166,SONDERZAHLUNGEN!$H$9:$H$128,"OK",SONDERZAHLUNGEN!$F$9:$F$128,"Ja")))</x:f>
      </x:c>
      <x:c r="H166" s="88" t="str">
        <x:f>IF(C166="","",MIN(MAX(0,D166+E166-F166-G166),MAX(0,IF(MONATSBUDGET!$C$15="",0,MONATSBUDGET!$C$15)-SUM(F160:F179)-SUM(H160:H165))))</x:f>
      </x:c>
      <x:c r="I166" s="88" t="str">
        <x:f>IF(C166="","",MAX(0,ROUND(D166+E166-F166-G166-H166,2)))</x:f>
      </x:c>
      <x:c r="J166" s="88" t="str">
        <x:f>IF(C166="","",F166+G166+H166)</x:f>
      </x:c>
      <x:c r="K166" s="88" t="str">
        <x:f>IF(C166="","",MAX(0,SUMIFS(SONDERZAHLUNGEN!$E$9:$E$128,SONDERZAHLUNGEN!$B$9:$B$128,C166,SONDERZAHLUNGEN!$C$9:$C$128,A166,SONDERZAHLUNGEN!$H$9:$H$128,"OK",SONDERZAHLUNGEN!$F$9:$F$128,"Ja")-G166))</x:f>
      </x:c>
    </x:row>
    <x:row r="167" ht="19" customHeight="1">
      <x:c r="A167" s="90" t="n">
        <x:f>MONATSBUDGET!$A$15</x:f>
        <x:v>46447</x:v>
      </x:c>
      <x:c r="B167" t="n">
        <x:f>8</x:f>
        <x:v>8</x:v>
      </x:c>
      <x:c r="C167" t="str">
        <x:f>IF($N$16="","",$N$16)</x:f>
      </x:c>
      <x:c r="D167" s="88" t="str">
        <x:f>IF(C167="","",I147)</x:f>
      </x:c>
      <x:c r="E167" s="88" t="str">
        <x:f>IF(C167="","",ROUND(D167*$P$16/12,2))</x:f>
      </x:c>
      <x:c r="F167" s="88" t="str">
        <x:f>IF(C167="","",MIN(D167+E167,$Q$16))</x:f>
      </x:c>
      <x:c r="G167" s="88" t="str">
        <x:f>IF(C167="","",MIN(MAX(0,D167+E167-F167),SUMIFS(SONDERZAHLUNGEN!$E$9:$E$128,SONDERZAHLUNGEN!$B$9:$B$128,C167,SONDERZAHLUNGEN!$C$9:$C$128,A167,SONDERZAHLUNGEN!$H$9:$H$128,"OK",SONDERZAHLUNGEN!$F$9:$F$128,"Ja")))</x:f>
      </x:c>
      <x:c r="H167" s="88" t="str">
        <x:f>IF(C167="","",MIN(MAX(0,D167+E167-F167-G167),MAX(0,IF(MONATSBUDGET!$C$15="",0,MONATSBUDGET!$C$15)-SUM(F160:F179)-SUM(H160:H166))))</x:f>
      </x:c>
      <x:c r="I167" s="88" t="str">
        <x:f>IF(C167="","",MAX(0,ROUND(D167+E167-F167-G167-H167,2)))</x:f>
      </x:c>
      <x:c r="J167" s="88" t="str">
        <x:f>IF(C167="","",F167+G167+H167)</x:f>
      </x:c>
      <x:c r="K167" s="88" t="str">
        <x:f>IF(C167="","",MAX(0,SUMIFS(SONDERZAHLUNGEN!$E$9:$E$128,SONDERZAHLUNGEN!$B$9:$B$128,C167,SONDERZAHLUNGEN!$C$9:$C$128,A167,SONDERZAHLUNGEN!$H$9:$H$128,"OK",SONDERZAHLUNGEN!$F$9:$F$128,"Ja")-G167))</x:f>
      </x:c>
    </x:row>
    <x:row r="168" ht="19" customHeight="1">
      <x:c r="A168" s="90" t="n">
        <x:f>MONATSBUDGET!$A$15</x:f>
        <x:v>46447</x:v>
      </x:c>
      <x:c r="B168" t="n">
        <x:f>9</x:f>
        <x:v>9</x:v>
      </x:c>
      <x:c r="C168" t="str">
        <x:f>IF($N$17="","",$N$17)</x:f>
      </x:c>
      <x:c r="D168" s="88" t="str">
        <x:f>IF(C168="","",I148)</x:f>
      </x:c>
      <x:c r="E168" s="88" t="str">
        <x:f>IF(C168="","",ROUND(D168*$P$17/12,2))</x:f>
      </x:c>
      <x:c r="F168" s="88" t="str">
        <x:f>IF(C168="","",MIN(D168+E168,$Q$17))</x:f>
      </x:c>
      <x:c r="G168" s="88" t="str">
        <x:f>IF(C168="","",MIN(MAX(0,D168+E168-F168),SUMIFS(SONDERZAHLUNGEN!$E$9:$E$128,SONDERZAHLUNGEN!$B$9:$B$128,C168,SONDERZAHLUNGEN!$C$9:$C$128,A168,SONDERZAHLUNGEN!$H$9:$H$128,"OK",SONDERZAHLUNGEN!$F$9:$F$128,"Ja")))</x:f>
      </x:c>
      <x:c r="H168" s="88" t="str">
        <x:f>IF(C168="","",MIN(MAX(0,D168+E168-F168-G168),MAX(0,IF(MONATSBUDGET!$C$15="",0,MONATSBUDGET!$C$15)-SUM(F160:F179)-SUM(H160:H167))))</x:f>
      </x:c>
      <x:c r="I168" s="88" t="str">
        <x:f>IF(C168="","",MAX(0,ROUND(D168+E168-F168-G168-H168,2)))</x:f>
      </x:c>
      <x:c r="J168" s="88" t="str">
        <x:f>IF(C168="","",F168+G168+H168)</x:f>
      </x:c>
      <x:c r="K168" s="88" t="str">
        <x:f>IF(C168="","",MAX(0,SUMIFS(SONDERZAHLUNGEN!$E$9:$E$128,SONDERZAHLUNGEN!$B$9:$B$128,C168,SONDERZAHLUNGEN!$C$9:$C$128,A168,SONDERZAHLUNGEN!$H$9:$H$128,"OK",SONDERZAHLUNGEN!$F$9:$F$128,"Ja")-G168))</x:f>
      </x:c>
    </x:row>
    <x:row r="169" ht="19" customHeight="1">
      <x:c r="A169" s="90" t="n">
        <x:f>MONATSBUDGET!$A$15</x:f>
        <x:v>46447</x:v>
      </x:c>
      <x:c r="B169" t="n">
        <x:f>10</x:f>
        <x:v>10</x:v>
      </x:c>
      <x:c r="C169" t="str">
        <x:f>IF($N$18="","",$N$18)</x:f>
      </x:c>
      <x:c r="D169" s="88" t="str">
        <x:f>IF(C169="","",I149)</x:f>
      </x:c>
      <x:c r="E169" s="88" t="str">
        <x:f>IF(C169="","",ROUND(D169*$P$18/12,2))</x:f>
      </x:c>
      <x:c r="F169" s="88" t="str">
        <x:f>IF(C169="","",MIN(D169+E169,$Q$18))</x:f>
      </x:c>
      <x:c r="G169" s="88" t="str">
        <x:f>IF(C169="","",MIN(MAX(0,D169+E169-F169),SUMIFS(SONDERZAHLUNGEN!$E$9:$E$128,SONDERZAHLUNGEN!$B$9:$B$128,C169,SONDERZAHLUNGEN!$C$9:$C$128,A169,SONDERZAHLUNGEN!$H$9:$H$128,"OK",SONDERZAHLUNGEN!$F$9:$F$128,"Ja")))</x:f>
      </x:c>
      <x:c r="H169" s="88" t="str">
        <x:f>IF(C169="","",MIN(MAX(0,D169+E169-F169-G169),MAX(0,IF(MONATSBUDGET!$C$15="",0,MONATSBUDGET!$C$15)-SUM(F160:F179)-SUM(H160:H168))))</x:f>
      </x:c>
      <x:c r="I169" s="88" t="str">
        <x:f>IF(C169="","",MAX(0,ROUND(D169+E169-F169-G169-H169,2)))</x:f>
      </x:c>
      <x:c r="J169" s="88" t="str">
        <x:f>IF(C169="","",F169+G169+H169)</x:f>
      </x:c>
      <x:c r="K169" s="88" t="str">
        <x:f>IF(C169="","",MAX(0,SUMIFS(SONDERZAHLUNGEN!$E$9:$E$128,SONDERZAHLUNGEN!$B$9:$B$128,C169,SONDERZAHLUNGEN!$C$9:$C$128,A169,SONDERZAHLUNGEN!$H$9:$H$128,"OK",SONDERZAHLUNGEN!$F$9:$F$128,"Ja")-G169))</x:f>
      </x:c>
    </x:row>
    <x:row r="170" ht="19" customHeight="1">
      <x:c r="A170" s="90" t="n">
        <x:f>MONATSBUDGET!$A$15</x:f>
        <x:v>46447</x:v>
      </x:c>
      <x:c r="B170" t="n">
        <x:f>11</x:f>
        <x:v>11</x:v>
      </x:c>
      <x:c r="C170" t="str">
        <x:f>IF($N$19="","",$N$19)</x:f>
      </x:c>
      <x:c r="D170" s="88" t="str">
        <x:f>IF(C170="","",I150)</x:f>
      </x:c>
      <x:c r="E170" s="88" t="str">
        <x:f>IF(C170="","",ROUND(D170*$P$19/12,2))</x:f>
      </x:c>
      <x:c r="F170" s="88" t="str">
        <x:f>IF(C170="","",MIN(D170+E170,$Q$19))</x:f>
      </x:c>
      <x:c r="G170" s="88" t="str">
        <x:f>IF(C170="","",MIN(MAX(0,D170+E170-F170),SUMIFS(SONDERZAHLUNGEN!$E$9:$E$128,SONDERZAHLUNGEN!$B$9:$B$128,C170,SONDERZAHLUNGEN!$C$9:$C$128,A170,SONDERZAHLUNGEN!$H$9:$H$128,"OK",SONDERZAHLUNGEN!$F$9:$F$128,"Ja")))</x:f>
      </x:c>
      <x:c r="H170" s="88" t="str">
        <x:f>IF(C170="","",MIN(MAX(0,D170+E170-F170-G170),MAX(0,IF(MONATSBUDGET!$C$15="",0,MONATSBUDGET!$C$15)-SUM(F160:F179)-SUM(H160:H169))))</x:f>
      </x:c>
      <x:c r="I170" s="88" t="str">
        <x:f>IF(C170="","",MAX(0,ROUND(D170+E170-F170-G170-H170,2)))</x:f>
      </x:c>
      <x:c r="J170" s="88" t="str">
        <x:f>IF(C170="","",F170+G170+H170)</x:f>
      </x:c>
      <x:c r="K170" s="88" t="str">
        <x:f>IF(C170="","",MAX(0,SUMIFS(SONDERZAHLUNGEN!$E$9:$E$128,SONDERZAHLUNGEN!$B$9:$B$128,C170,SONDERZAHLUNGEN!$C$9:$C$128,A170,SONDERZAHLUNGEN!$H$9:$H$128,"OK",SONDERZAHLUNGEN!$F$9:$F$128,"Ja")-G170))</x:f>
      </x:c>
    </x:row>
    <x:row r="171" ht="19" customHeight="1">
      <x:c r="A171" s="90" t="n">
        <x:f>MONATSBUDGET!$A$15</x:f>
        <x:v>46447</x:v>
      </x:c>
      <x:c r="B171" t="n">
        <x:f>12</x:f>
        <x:v>12</x:v>
      </x:c>
      <x:c r="C171" t="str">
        <x:f>IF($N$20="","",$N$20)</x:f>
      </x:c>
      <x:c r="D171" s="88" t="str">
        <x:f>IF(C171="","",I151)</x:f>
      </x:c>
      <x:c r="E171" s="88" t="str">
        <x:f>IF(C171="","",ROUND(D171*$P$20/12,2))</x:f>
      </x:c>
      <x:c r="F171" s="88" t="str">
        <x:f>IF(C171="","",MIN(D171+E171,$Q$20))</x:f>
      </x:c>
      <x:c r="G171" s="88" t="str">
        <x:f>IF(C171="","",MIN(MAX(0,D171+E171-F171),SUMIFS(SONDERZAHLUNGEN!$E$9:$E$128,SONDERZAHLUNGEN!$B$9:$B$128,C171,SONDERZAHLUNGEN!$C$9:$C$128,A171,SONDERZAHLUNGEN!$H$9:$H$128,"OK",SONDERZAHLUNGEN!$F$9:$F$128,"Ja")))</x:f>
      </x:c>
      <x:c r="H171" s="88" t="str">
        <x:f>IF(C171="","",MIN(MAX(0,D171+E171-F171-G171),MAX(0,IF(MONATSBUDGET!$C$15="",0,MONATSBUDGET!$C$15)-SUM(F160:F179)-SUM(H160:H170))))</x:f>
      </x:c>
      <x:c r="I171" s="88" t="str">
        <x:f>IF(C171="","",MAX(0,ROUND(D171+E171-F171-G171-H171,2)))</x:f>
      </x:c>
      <x:c r="J171" s="88" t="str">
        <x:f>IF(C171="","",F171+G171+H171)</x:f>
      </x:c>
      <x:c r="K171" s="88" t="str">
        <x:f>IF(C171="","",MAX(0,SUMIFS(SONDERZAHLUNGEN!$E$9:$E$128,SONDERZAHLUNGEN!$B$9:$B$128,C171,SONDERZAHLUNGEN!$C$9:$C$128,A171,SONDERZAHLUNGEN!$H$9:$H$128,"OK",SONDERZAHLUNGEN!$F$9:$F$128,"Ja")-G171))</x:f>
      </x:c>
    </x:row>
    <x:row r="172" ht="19" customHeight="1">
      <x:c r="A172" s="90" t="n">
        <x:f>MONATSBUDGET!$A$15</x:f>
        <x:v>46447</x:v>
      </x:c>
      <x:c r="B172" t="n">
        <x:f>13</x:f>
        <x:v>13</x:v>
      </x:c>
      <x:c r="C172" t="str">
        <x:f>IF($N$21="","",$N$21)</x:f>
      </x:c>
      <x:c r="D172" s="88" t="str">
        <x:f>IF(C172="","",I152)</x:f>
      </x:c>
      <x:c r="E172" s="88" t="str">
        <x:f>IF(C172="","",ROUND(D172*$P$21/12,2))</x:f>
      </x:c>
      <x:c r="F172" s="88" t="str">
        <x:f>IF(C172="","",MIN(D172+E172,$Q$21))</x:f>
      </x:c>
      <x:c r="G172" s="88" t="str">
        <x:f>IF(C172="","",MIN(MAX(0,D172+E172-F172),SUMIFS(SONDERZAHLUNGEN!$E$9:$E$128,SONDERZAHLUNGEN!$B$9:$B$128,C172,SONDERZAHLUNGEN!$C$9:$C$128,A172,SONDERZAHLUNGEN!$H$9:$H$128,"OK",SONDERZAHLUNGEN!$F$9:$F$128,"Ja")))</x:f>
      </x:c>
      <x:c r="H172" s="88" t="str">
        <x:f>IF(C172="","",MIN(MAX(0,D172+E172-F172-G172),MAX(0,IF(MONATSBUDGET!$C$15="",0,MONATSBUDGET!$C$15)-SUM(F160:F179)-SUM(H160:H171))))</x:f>
      </x:c>
      <x:c r="I172" s="88" t="str">
        <x:f>IF(C172="","",MAX(0,ROUND(D172+E172-F172-G172-H172,2)))</x:f>
      </x:c>
      <x:c r="J172" s="88" t="str">
        <x:f>IF(C172="","",F172+G172+H172)</x:f>
      </x:c>
      <x:c r="K172" s="88" t="str">
        <x:f>IF(C172="","",MAX(0,SUMIFS(SONDERZAHLUNGEN!$E$9:$E$128,SONDERZAHLUNGEN!$B$9:$B$128,C172,SONDERZAHLUNGEN!$C$9:$C$128,A172,SONDERZAHLUNGEN!$H$9:$H$128,"OK",SONDERZAHLUNGEN!$F$9:$F$128,"Ja")-G172))</x:f>
      </x:c>
    </x:row>
    <x:row r="173" ht="19" customHeight="1">
      <x:c r="A173" s="90" t="n">
        <x:f>MONATSBUDGET!$A$15</x:f>
        <x:v>46447</x:v>
      </x:c>
      <x:c r="B173" t="n">
        <x:f>14</x:f>
        <x:v>14</x:v>
      </x:c>
      <x:c r="C173" t="str">
        <x:f>IF($N$22="","",$N$22)</x:f>
      </x:c>
      <x:c r="D173" s="88" t="str">
        <x:f>IF(C173="","",I153)</x:f>
      </x:c>
      <x:c r="E173" s="88" t="str">
        <x:f>IF(C173="","",ROUND(D173*$P$22/12,2))</x:f>
      </x:c>
      <x:c r="F173" s="88" t="str">
        <x:f>IF(C173="","",MIN(D173+E173,$Q$22))</x:f>
      </x:c>
      <x:c r="G173" s="88" t="str">
        <x:f>IF(C173="","",MIN(MAX(0,D173+E173-F173),SUMIFS(SONDERZAHLUNGEN!$E$9:$E$128,SONDERZAHLUNGEN!$B$9:$B$128,C173,SONDERZAHLUNGEN!$C$9:$C$128,A173,SONDERZAHLUNGEN!$H$9:$H$128,"OK",SONDERZAHLUNGEN!$F$9:$F$128,"Ja")))</x:f>
      </x:c>
      <x:c r="H173" s="88" t="str">
        <x:f>IF(C173="","",MIN(MAX(0,D173+E173-F173-G173),MAX(0,IF(MONATSBUDGET!$C$15="",0,MONATSBUDGET!$C$15)-SUM(F160:F179)-SUM(H160:H172))))</x:f>
      </x:c>
      <x:c r="I173" s="88" t="str">
        <x:f>IF(C173="","",MAX(0,ROUND(D173+E173-F173-G173-H173,2)))</x:f>
      </x:c>
      <x:c r="J173" s="88" t="str">
        <x:f>IF(C173="","",F173+G173+H173)</x:f>
      </x:c>
      <x:c r="K173" s="88" t="str">
        <x:f>IF(C173="","",MAX(0,SUMIFS(SONDERZAHLUNGEN!$E$9:$E$128,SONDERZAHLUNGEN!$B$9:$B$128,C173,SONDERZAHLUNGEN!$C$9:$C$128,A173,SONDERZAHLUNGEN!$H$9:$H$128,"OK",SONDERZAHLUNGEN!$F$9:$F$128,"Ja")-G173))</x:f>
      </x:c>
    </x:row>
    <x:row r="174" ht="19" customHeight="1">
      <x:c r="A174" s="90" t="n">
        <x:f>MONATSBUDGET!$A$15</x:f>
        <x:v>46447</x:v>
      </x:c>
      <x:c r="B174" t="n">
        <x:f>15</x:f>
        <x:v>15</x:v>
      </x:c>
      <x:c r="C174" t="str">
        <x:f>IF($N$23="","",$N$23)</x:f>
      </x:c>
      <x:c r="D174" s="88" t="str">
        <x:f>IF(C174="","",I154)</x:f>
      </x:c>
      <x:c r="E174" s="88" t="str">
        <x:f>IF(C174="","",ROUND(D174*$P$23/12,2))</x:f>
      </x:c>
      <x:c r="F174" s="88" t="str">
        <x:f>IF(C174="","",MIN(D174+E174,$Q$23))</x:f>
      </x:c>
      <x:c r="G174" s="88" t="str">
        <x:f>IF(C174="","",MIN(MAX(0,D174+E174-F174),SUMIFS(SONDERZAHLUNGEN!$E$9:$E$128,SONDERZAHLUNGEN!$B$9:$B$128,C174,SONDERZAHLUNGEN!$C$9:$C$128,A174,SONDERZAHLUNGEN!$H$9:$H$128,"OK",SONDERZAHLUNGEN!$F$9:$F$128,"Ja")))</x:f>
      </x:c>
      <x:c r="H174" s="88" t="str">
        <x:f>IF(C174="","",MIN(MAX(0,D174+E174-F174-G174),MAX(0,IF(MONATSBUDGET!$C$15="",0,MONATSBUDGET!$C$15)-SUM(F160:F179)-SUM(H160:H173))))</x:f>
      </x:c>
      <x:c r="I174" s="88" t="str">
        <x:f>IF(C174="","",MAX(0,ROUND(D174+E174-F174-G174-H174,2)))</x:f>
      </x:c>
      <x:c r="J174" s="88" t="str">
        <x:f>IF(C174="","",F174+G174+H174)</x:f>
      </x:c>
      <x:c r="K174" s="88" t="str">
        <x:f>IF(C174="","",MAX(0,SUMIFS(SONDERZAHLUNGEN!$E$9:$E$128,SONDERZAHLUNGEN!$B$9:$B$128,C174,SONDERZAHLUNGEN!$C$9:$C$128,A174,SONDERZAHLUNGEN!$H$9:$H$128,"OK",SONDERZAHLUNGEN!$F$9:$F$128,"Ja")-G174))</x:f>
      </x:c>
    </x:row>
    <x:row r="175" ht="19" customHeight="1">
      <x:c r="A175" s="90" t="n">
        <x:f>MONATSBUDGET!$A$15</x:f>
        <x:v>46447</x:v>
      </x:c>
      <x:c r="B175" t="n">
        <x:f>16</x:f>
        <x:v>16</x:v>
      </x:c>
      <x:c r="C175" t="str">
        <x:f>IF($N$24="","",$N$24)</x:f>
      </x:c>
      <x:c r="D175" s="88" t="str">
        <x:f>IF(C175="","",I155)</x:f>
      </x:c>
      <x:c r="E175" s="88" t="str">
        <x:f>IF(C175="","",ROUND(D175*$P$24/12,2))</x:f>
      </x:c>
      <x:c r="F175" s="88" t="str">
        <x:f>IF(C175="","",MIN(D175+E175,$Q$24))</x:f>
      </x:c>
      <x:c r="G175" s="88" t="str">
        <x:f>IF(C175="","",MIN(MAX(0,D175+E175-F175),SUMIFS(SONDERZAHLUNGEN!$E$9:$E$128,SONDERZAHLUNGEN!$B$9:$B$128,C175,SONDERZAHLUNGEN!$C$9:$C$128,A175,SONDERZAHLUNGEN!$H$9:$H$128,"OK",SONDERZAHLUNGEN!$F$9:$F$128,"Ja")))</x:f>
      </x:c>
      <x:c r="H175" s="88" t="str">
        <x:f>IF(C175="","",MIN(MAX(0,D175+E175-F175-G175),MAX(0,IF(MONATSBUDGET!$C$15="",0,MONATSBUDGET!$C$15)-SUM(F160:F179)-SUM(H160:H174))))</x:f>
      </x:c>
      <x:c r="I175" s="88" t="str">
        <x:f>IF(C175="","",MAX(0,ROUND(D175+E175-F175-G175-H175,2)))</x:f>
      </x:c>
      <x:c r="J175" s="88" t="str">
        <x:f>IF(C175="","",F175+G175+H175)</x:f>
      </x:c>
      <x:c r="K175" s="88" t="str">
        <x:f>IF(C175="","",MAX(0,SUMIFS(SONDERZAHLUNGEN!$E$9:$E$128,SONDERZAHLUNGEN!$B$9:$B$128,C175,SONDERZAHLUNGEN!$C$9:$C$128,A175,SONDERZAHLUNGEN!$H$9:$H$128,"OK",SONDERZAHLUNGEN!$F$9:$F$128,"Ja")-G175))</x:f>
      </x:c>
    </x:row>
    <x:row r="176" ht="19" customHeight="1">
      <x:c r="A176" s="90" t="n">
        <x:f>MONATSBUDGET!$A$15</x:f>
        <x:v>46447</x:v>
      </x:c>
      <x:c r="B176" t="n">
        <x:f>17</x:f>
        <x:v>17</x:v>
      </x:c>
      <x:c r="C176" t="str">
        <x:f>IF($N$25="","",$N$25)</x:f>
      </x:c>
      <x:c r="D176" s="88" t="str">
        <x:f>IF(C176="","",I156)</x:f>
      </x:c>
      <x:c r="E176" s="88" t="str">
        <x:f>IF(C176="","",ROUND(D176*$P$25/12,2))</x:f>
      </x:c>
      <x:c r="F176" s="88" t="str">
        <x:f>IF(C176="","",MIN(D176+E176,$Q$25))</x:f>
      </x:c>
      <x:c r="G176" s="88" t="str">
        <x:f>IF(C176="","",MIN(MAX(0,D176+E176-F176),SUMIFS(SONDERZAHLUNGEN!$E$9:$E$128,SONDERZAHLUNGEN!$B$9:$B$128,C176,SONDERZAHLUNGEN!$C$9:$C$128,A176,SONDERZAHLUNGEN!$H$9:$H$128,"OK",SONDERZAHLUNGEN!$F$9:$F$128,"Ja")))</x:f>
      </x:c>
      <x:c r="H176" s="88" t="str">
        <x:f>IF(C176="","",MIN(MAX(0,D176+E176-F176-G176),MAX(0,IF(MONATSBUDGET!$C$15="",0,MONATSBUDGET!$C$15)-SUM(F160:F179)-SUM(H160:H175))))</x:f>
      </x:c>
      <x:c r="I176" s="88" t="str">
        <x:f>IF(C176="","",MAX(0,ROUND(D176+E176-F176-G176-H176,2)))</x:f>
      </x:c>
      <x:c r="J176" s="88" t="str">
        <x:f>IF(C176="","",F176+G176+H176)</x:f>
      </x:c>
      <x:c r="K176" s="88" t="str">
        <x:f>IF(C176="","",MAX(0,SUMIFS(SONDERZAHLUNGEN!$E$9:$E$128,SONDERZAHLUNGEN!$B$9:$B$128,C176,SONDERZAHLUNGEN!$C$9:$C$128,A176,SONDERZAHLUNGEN!$H$9:$H$128,"OK",SONDERZAHLUNGEN!$F$9:$F$128,"Ja")-G176))</x:f>
      </x:c>
    </x:row>
    <x:row r="177" ht="19" customHeight="1">
      <x:c r="A177" s="90" t="n">
        <x:f>MONATSBUDGET!$A$15</x:f>
        <x:v>46447</x:v>
      </x:c>
      <x:c r="B177" t="n">
        <x:f>18</x:f>
        <x:v>18</x:v>
      </x:c>
      <x:c r="C177" t="str">
        <x:f>IF($N$26="","",$N$26)</x:f>
      </x:c>
      <x:c r="D177" s="88" t="str">
        <x:f>IF(C177="","",I157)</x:f>
      </x:c>
      <x:c r="E177" s="88" t="str">
        <x:f>IF(C177="","",ROUND(D177*$P$26/12,2))</x:f>
      </x:c>
      <x:c r="F177" s="88" t="str">
        <x:f>IF(C177="","",MIN(D177+E177,$Q$26))</x:f>
      </x:c>
      <x:c r="G177" s="88" t="str">
        <x:f>IF(C177="","",MIN(MAX(0,D177+E177-F177),SUMIFS(SONDERZAHLUNGEN!$E$9:$E$128,SONDERZAHLUNGEN!$B$9:$B$128,C177,SONDERZAHLUNGEN!$C$9:$C$128,A177,SONDERZAHLUNGEN!$H$9:$H$128,"OK",SONDERZAHLUNGEN!$F$9:$F$128,"Ja")))</x:f>
      </x:c>
      <x:c r="H177" s="88" t="str">
        <x:f>IF(C177="","",MIN(MAX(0,D177+E177-F177-G177),MAX(0,IF(MONATSBUDGET!$C$15="",0,MONATSBUDGET!$C$15)-SUM(F160:F179)-SUM(H160:H176))))</x:f>
      </x:c>
      <x:c r="I177" s="88" t="str">
        <x:f>IF(C177="","",MAX(0,ROUND(D177+E177-F177-G177-H177,2)))</x:f>
      </x:c>
      <x:c r="J177" s="88" t="str">
        <x:f>IF(C177="","",F177+G177+H177)</x:f>
      </x:c>
      <x:c r="K177" s="88" t="str">
        <x:f>IF(C177="","",MAX(0,SUMIFS(SONDERZAHLUNGEN!$E$9:$E$128,SONDERZAHLUNGEN!$B$9:$B$128,C177,SONDERZAHLUNGEN!$C$9:$C$128,A177,SONDERZAHLUNGEN!$H$9:$H$128,"OK",SONDERZAHLUNGEN!$F$9:$F$128,"Ja")-G177))</x:f>
      </x:c>
    </x:row>
    <x:row r="178" ht="19" customHeight="1">
      <x:c r="A178" s="90" t="n">
        <x:f>MONATSBUDGET!$A$15</x:f>
        <x:v>46447</x:v>
      </x:c>
      <x:c r="B178" t="n">
        <x:f>19</x:f>
        <x:v>19</x:v>
      </x:c>
      <x:c r="C178" t="str">
        <x:f>IF($N$27="","",$N$27)</x:f>
      </x:c>
      <x:c r="D178" s="88" t="str">
        <x:f>IF(C178="","",I158)</x:f>
      </x:c>
      <x:c r="E178" s="88" t="str">
        <x:f>IF(C178="","",ROUND(D178*$P$27/12,2))</x:f>
      </x:c>
      <x:c r="F178" s="88" t="str">
        <x:f>IF(C178="","",MIN(D178+E178,$Q$27))</x:f>
      </x:c>
      <x:c r="G178" s="88" t="str">
        <x:f>IF(C178="","",MIN(MAX(0,D178+E178-F178),SUMIFS(SONDERZAHLUNGEN!$E$9:$E$128,SONDERZAHLUNGEN!$B$9:$B$128,C178,SONDERZAHLUNGEN!$C$9:$C$128,A178,SONDERZAHLUNGEN!$H$9:$H$128,"OK",SONDERZAHLUNGEN!$F$9:$F$128,"Ja")))</x:f>
      </x:c>
      <x:c r="H178" s="88" t="str">
        <x:f>IF(C178="","",MIN(MAX(0,D178+E178-F178-G178),MAX(0,IF(MONATSBUDGET!$C$15="",0,MONATSBUDGET!$C$15)-SUM(F160:F179)-SUM(H160:H177))))</x:f>
      </x:c>
      <x:c r="I178" s="88" t="str">
        <x:f>IF(C178="","",MAX(0,ROUND(D178+E178-F178-G178-H178,2)))</x:f>
      </x:c>
      <x:c r="J178" s="88" t="str">
        <x:f>IF(C178="","",F178+G178+H178)</x:f>
      </x:c>
      <x:c r="K178" s="88" t="str">
        <x:f>IF(C178="","",MAX(0,SUMIFS(SONDERZAHLUNGEN!$E$9:$E$128,SONDERZAHLUNGEN!$B$9:$B$128,C178,SONDERZAHLUNGEN!$C$9:$C$128,A178,SONDERZAHLUNGEN!$H$9:$H$128,"OK",SONDERZAHLUNGEN!$F$9:$F$128,"Ja")-G178))</x:f>
      </x:c>
    </x:row>
    <x:row r="179" ht="19" customHeight="1">
      <x:c r="A179" s="90" t="n">
        <x:f>MONATSBUDGET!$A$15</x:f>
        <x:v>46447</x:v>
      </x:c>
      <x:c r="B179" t="n">
        <x:f>20</x:f>
        <x:v>20</x:v>
      </x:c>
      <x:c r="C179" t="str">
        <x:f>IF($N$28="","",$N$28)</x:f>
      </x:c>
      <x:c r="D179" s="88" t="str">
        <x:f>IF(C179="","",I159)</x:f>
      </x:c>
      <x:c r="E179" s="88" t="str">
        <x:f>IF(C179="","",ROUND(D179*$P$28/12,2))</x:f>
      </x:c>
      <x:c r="F179" s="88" t="str">
        <x:f>IF(C179="","",MIN(D179+E179,$Q$28))</x:f>
      </x:c>
      <x:c r="G179" s="88" t="str">
        <x:f>IF(C179="","",MIN(MAX(0,D179+E179-F179),SUMIFS(SONDERZAHLUNGEN!$E$9:$E$128,SONDERZAHLUNGEN!$B$9:$B$128,C179,SONDERZAHLUNGEN!$C$9:$C$128,A179,SONDERZAHLUNGEN!$H$9:$H$128,"OK",SONDERZAHLUNGEN!$F$9:$F$128,"Ja")))</x:f>
      </x:c>
      <x:c r="H179" s="88" t="str">
        <x:f>IF(C179="","",MIN(MAX(0,D179+E179-F179-G179),MAX(0,IF(MONATSBUDGET!$C$15="",0,MONATSBUDGET!$C$15)-SUM(F160:F179)-SUM(H160:H178))))</x:f>
      </x:c>
      <x:c r="I179" s="88" t="str">
        <x:f>IF(C179="","",MAX(0,ROUND(D179+E179-F179-G179-H179,2)))</x:f>
      </x:c>
      <x:c r="J179" s="88" t="str">
        <x:f>IF(C179="","",F179+G179+H179)</x:f>
      </x:c>
      <x:c r="K179" s="88" t="str">
        <x:f>IF(C179="","",MAX(0,SUMIFS(SONDERZAHLUNGEN!$E$9:$E$128,SONDERZAHLUNGEN!$B$9:$B$128,C179,SONDERZAHLUNGEN!$C$9:$C$128,A179,SONDERZAHLUNGEN!$H$9:$H$128,"OK",SONDERZAHLUNGEN!$F$9:$F$128,"Ja")-G179))</x:f>
      </x:c>
    </x:row>
    <x:row r="180" ht="19" customHeight="1">
      <x:c r="A180" s="90" t="n">
        <x:f>MONATSBUDGET!$A$16</x:f>
        <x:v>46478</x:v>
      </x:c>
      <x:c r="B180" t="n">
        <x:f>1</x:f>
        <x:v>1</x:v>
      </x:c>
      <x:c r="C180" t="str">
        <x:f>IF($N$9="","",$N$9)</x:f>
      </x:c>
      <x:c r="D180" s="88" t="str">
        <x:f>IF(C180="","",I160)</x:f>
      </x:c>
      <x:c r="E180" s="88" t="str">
        <x:f>IF(C180="","",ROUND(D180*$P$9/12,2))</x:f>
      </x:c>
      <x:c r="F180" s="88" t="str">
        <x:f>IF(C180="","",MIN(D180+E180,$Q$9))</x:f>
      </x:c>
      <x:c r="G180" s="88" t="str">
        <x:f>IF(C180="","",MIN(MAX(0,D180+E180-F180),SUMIFS(SONDERZAHLUNGEN!$E$9:$E$128,SONDERZAHLUNGEN!$B$9:$B$128,C180,SONDERZAHLUNGEN!$C$9:$C$128,A180,SONDERZAHLUNGEN!$H$9:$H$128,"OK",SONDERZAHLUNGEN!$F$9:$F$128,"Ja")))</x:f>
      </x:c>
      <x:c r="H180" s="88" t="str">
        <x:f>IF(C180="","",MIN(MAX(0,D180+E180-F180-G180),MAX(0,IF(MONATSBUDGET!$C$16="",0,MONATSBUDGET!$C$16)-SUM(F180:F199)-0)))</x:f>
      </x:c>
      <x:c r="I180" s="88" t="str">
        <x:f>IF(C180="","",MAX(0,ROUND(D180+E180-F180-G180-H180,2)))</x:f>
      </x:c>
      <x:c r="J180" s="88" t="str">
        <x:f>IF(C180="","",F180+G180+H180)</x:f>
      </x:c>
      <x:c r="K180" s="88" t="str">
        <x:f>IF(C180="","",MAX(0,SUMIFS(SONDERZAHLUNGEN!$E$9:$E$128,SONDERZAHLUNGEN!$B$9:$B$128,C180,SONDERZAHLUNGEN!$C$9:$C$128,A180,SONDERZAHLUNGEN!$H$9:$H$128,"OK",SONDERZAHLUNGEN!$F$9:$F$128,"Ja")-G180))</x:f>
      </x:c>
    </x:row>
    <x:row r="181" ht="19" customHeight="1">
      <x:c r="A181" s="90" t="n">
        <x:f>MONATSBUDGET!$A$16</x:f>
        <x:v>46478</x:v>
      </x:c>
      <x:c r="B181" t="n">
        <x:f>2</x:f>
        <x:v>2</x:v>
      </x:c>
      <x:c r="C181" t="str">
        <x:f>IF($N$10="","",$N$10)</x:f>
      </x:c>
      <x:c r="D181" s="88" t="str">
        <x:f>IF(C181="","",I161)</x:f>
      </x:c>
      <x:c r="E181" s="88" t="str">
        <x:f>IF(C181="","",ROUND(D181*$P$10/12,2))</x:f>
      </x:c>
      <x:c r="F181" s="88" t="str">
        <x:f>IF(C181="","",MIN(D181+E181,$Q$10))</x:f>
      </x:c>
      <x:c r="G181" s="88" t="str">
        <x:f>IF(C181="","",MIN(MAX(0,D181+E181-F181),SUMIFS(SONDERZAHLUNGEN!$E$9:$E$128,SONDERZAHLUNGEN!$B$9:$B$128,C181,SONDERZAHLUNGEN!$C$9:$C$128,A181,SONDERZAHLUNGEN!$H$9:$H$128,"OK",SONDERZAHLUNGEN!$F$9:$F$128,"Ja")))</x:f>
      </x:c>
      <x:c r="H181" s="88" t="str">
        <x:f>IF(C181="","",MIN(MAX(0,D181+E181-F181-G181),MAX(0,IF(MONATSBUDGET!$C$16="",0,MONATSBUDGET!$C$16)-SUM(F180:F199)-SUM(H180:H180))))</x:f>
      </x:c>
      <x:c r="I181" s="88" t="str">
        <x:f>IF(C181="","",MAX(0,ROUND(D181+E181-F181-G181-H181,2)))</x:f>
      </x:c>
      <x:c r="J181" s="88" t="str">
        <x:f>IF(C181="","",F181+G181+H181)</x:f>
      </x:c>
      <x:c r="K181" s="88" t="str">
        <x:f>IF(C181="","",MAX(0,SUMIFS(SONDERZAHLUNGEN!$E$9:$E$128,SONDERZAHLUNGEN!$B$9:$B$128,C181,SONDERZAHLUNGEN!$C$9:$C$128,A181,SONDERZAHLUNGEN!$H$9:$H$128,"OK",SONDERZAHLUNGEN!$F$9:$F$128,"Ja")-G181))</x:f>
      </x:c>
    </x:row>
    <x:row r="182" ht="19" customHeight="1">
      <x:c r="A182" s="90" t="n">
        <x:f>MONATSBUDGET!$A$16</x:f>
        <x:v>46478</x:v>
      </x:c>
      <x:c r="B182" t="n">
        <x:f>3</x:f>
        <x:v>3</x:v>
      </x:c>
      <x:c r="C182" t="str">
        <x:f>IF($N$11="","",$N$11)</x:f>
      </x:c>
      <x:c r="D182" s="88" t="str">
        <x:f>IF(C182="","",I162)</x:f>
      </x:c>
      <x:c r="E182" s="88" t="str">
        <x:f>IF(C182="","",ROUND(D182*$P$11/12,2))</x:f>
      </x:c>
      <x:c r="F182" s="88" t="str">
        <x:f>IF(C182="","",MIN(D182+E182,$Q$11))</x:f>
      </x:c>
      <x:c r="G182" s="88" t="str">
        <x:f>IF(C182="","",MIN(MAX(0,D182+E182-F182),SUMIFS(SONDERZAHLUNGEN!$E$9:$E$128,SONDERZAHLUNGEN!$B$9:$B$128,C182,SONDERZAHLUNGEN!$C$9:$C$128,A182,SONDERZAHLUNGEN!$H$9:$H$128,"OK",SONDERZAHLUNGEN!$F$9:$F$128,"Ja")))</x:f>
      </x:c>
      <x:c r="H182" s="88" t="str">
        <x:f>IF(C182="","",MIN(MAX(0,D182+E182-F182-G182),MAX(0,IF(MONATSBUDGET!$C$16="",0,MONATSBUDGET!$C$16)-SUM(F180:F199)-SUM(H180:H181))))</x:f>
      </x:c>
      <x:c r="I182" s="88" t="str">
        <x:f>IF(C182="","",MAX(0,ROUND(D182+E182-F182-G182-H182,2)))</x:f>
      </x:c>
      <x:c r="J182" s="88" t="str">
        <x:f>IF(C182="","",F182+G182+H182)</x:f>
      </x:c>
      <x:c r="K182" s="88" t="str">
        <x:f>IF(C182="","",MAX(0,SUMIFS(SONDERZAHLUNGEN!$E$9:$E$128,SONDERZAHLUNGEN!$B$9:$B$128,C182,SONDERZAHLUNGEN!$C$9:$C$128,A182,SONDERZAHLUNGEN!$H$9:$H$128,"OK",SONDERZAHLUNGEN!$F$9:$F$128,"Ja")-G182))</x:f>
      </x:c>
    </x:row>
    <x:row r="183" ht="19" customHeight="1">
      <x:c r="A183" s="90" t="n">
        <x:f>MONATSBUDGET!$A$16</x:f>
        <x:v>46478</x:v>
      </x:c>
      <x:c r="B183" t="n">
        <x:f>4</x:f>
        <x:v>4</x:v>
      </x:c>
      <x:c r="C183" t="str">
        <x:f>IF($N$12="","",$N$12)</x:f>
      </x:c>
      <x:c r="D183" s="88" t="str">
        <x:f>IF(C183="","",I163)</x:f>
      </x:c>
      <x:c r="E183" s="88" t="str">
        <x:f>IF(C183="","",ROUND(D183*$P$12/12,2))</x:f>
      </x:c>
      <x:c r="F183" s="88" t="str">
        <x:f>IF(C183="","",MIN(D183+E183,$Q$12))</x:f>
      </x:c>
      <x:c r="G183" s="88" t="str">
        <x:f>IF(C183="","",MIN(MAX(0,D183+E183-F183),SUMIFS(SONDERZAHLUNGEN!$E$9:$E$128,SONDERZAHLUNGEN!$B$9:$B$128,C183,SONDERZAHLUNGEN!$C$9:$C$128,A183,SONDERZAHLUNGEN!$H$9:$H$128,"OK",SONDERZAHLUNGEN!$F$9:$F$128,"Ja")))</x:f>
      </x:c>
      <x:c r="H183" s="88" t="str">
        <x:f>IF(C183="","",MIN(MAX(0,D183+E183-F183-G183),MAX(0,IF(MONATSBUDGET!$C$16="",0,MONATSBUDGET!$C$16)-SUM(F180:F199)-SUM(H180:H182))))</x:f>
      </x:c>
      <x:c r="I183" s="88" t="str">
        <x:f>IF(C183="","",MAX(0,ROUND(D183+E183-F183-G183-H183,2)))</x:f>
      </x:c>
      <x:c r="J183" s="88" t="str">
        <x:f>IF(C183="","",F183+G183+H183)</x:f>
      </x:c>
      <x:c r="K183" s="88" t="str">
        <x:f>IF(C183="","",MAX(0,SUMIFS(SONDERZAHLUNGEN!$E$9:$E$128,SONDERZAHLUNGEN!$B$9:$B$128,C183,SONDERZAHLUNGEN!$C$9:$C$128,A183,SONDERZAHLUNGEN!$H$9:$H$128,"OK",SONDERZAHLUNGEN!$F$9:$F$128,"Ja")-G183))</x:f>
      </x:c>
    </x:row>
    <x:row r="184" ht="19" customHeight="1">
      <x:c r="A184" s="90" t="n">
        <x:f>MONATSBUDGET!$A$16</x:f>
        <x:v>46478</x:v>
      </x:c>
      <x:c r="B184" t="n">
        <x:f>5</x:f>
        <x:v>5</x:v>
      </x:c>
      <x:c r="C184" t="str">
        <x:f>IF($N$13="","",$N$13)</x:f>
      </x:c>
      <x:c r="D184" s="88" t="str">
        <x:f>IF(C184="","",I164)</x:f>
      </x:c>
      <x:c r="E184" s="88" t="str">
        <x:f>IF(C184="","",ROUND(D184*$P$13/12,2))</x:f>
      </x:c>
      <x:c r="F184" s="88" t="str">
        <x:f>IF(C184="","",MIN(D184+E184,$Q$13))</x:f>
      </x:c>
      <x:c r="G184" s="88" t="str">
        <x:f>IF(C184="","",MIN(MAX(0,D184+E184-F184),SUMIFS(SONDERZAHLUNGEN!$E$9:$E$128,SONDERZAHLUNGEN!$B$9:$B$128,C184,SONDERZAHLUNGEN!$C$9:$C$128,A184,SONDERZAHLUNGEN!$H$9:$H$128,"OK",SONDERZAHLUNGEN!$F$9:$F$128,"Ja")))</x:f>
      </x:c>
      <x:c r="H184" s="88" t="str">
        <x:f>IF(C184="","",MIN(MAX(0,D184+E184-F184-G184),MAX(0,IF(MONATSBUDGET!$C$16="",0,MONATSBUDGET!$C$16)-SUM(F180:F199)-SUM(H180:H183))))</x:f>
      </x:c>
      <x:c r="I184" s="88" t="str">
        <x:f>IF(C184="","",MAX(0,ROUND(D184+E184-F184-G184-H184,2)))</x:f>
      </x:c>
      <x:c r="J184" s="88" t="str">
        <x:f>IF(C184="","",F184+G184+H184)</x:f>
      </x:c>
      <x:c r="K184" s="88" t="str">
        <x:f>IF(C184="","",MAX(0,SUMIFS(SONDERZAHLUNGEN!$E$9:$E$128,SONDERZAHLUNGEN!$B$9:$B$128,C184,SONDERZAHLUNGEN!$C$9:$C$128,A184,SONDERZAHLUNGEN!$H$9:$H$128,"OK",SONDERZAHLUNGEN!$F$9:$F$128,"Ja")-G184))</x:f>
      </x:c>
    </x:row>
    <x:row r="185" ht="19" customHeight="1">
      <x:c r="A185" s="90" t="n">
        <x:f>MONATSBUDGET!$A$16</x:f>
        <x:v>46478</x:v>
      </x:c>
      <x:c r="B185" t="n">
        <x:f>6</x:f>
        <x:v>6</x:v>
      </x:c>
      <x:c r="C185" t="str">
        <x:f>IF($N$14="","",$N$14)</x:f>
      </x:c>
      <x:c r="D185" s="88" t="str">
        <x:f>IF(C185="","",I165)</x:f>
      </x:c>
      <x:c r="E185" s="88" t="str">
        <x:f>IF(C185="","",ROUND(D185*$P$14/12,2))</x:f>
      </x:c>
      <x:c r="F185" s="88" t="str">
        <x:f>IF(C185="","",MIN(D185+E185,$Q$14))</x:f>
      </x:c>
      <x:c r="G185" s="88" t="str">
        <x:f>IF(C185="","",MIN(MAX(0,D185+E185-F185),SUMIFS(SONDERZAHLUNGEN!$E$9:$E$128,SONDERZAHLUNGEN!$B$9:$B$128,C185,SONDERZAHLUNGEN!$C$9:$C$128,A185,SONDERZAHLUNGEN!$H$9:$H$128,"OK",SONDERZAHLUNGEN!$F$9:$F$128,"Ja")))</x:f>
      </x:c>
      <x:c r="H185" s="88" t="str">
        <x:f>IF(C185="","",MIN(MAX(0,D185+E185-F185-G185),MAX(0,IF(MONATSBUDGET!$C$16="",0,MONATSBUDGET!$C$16)-SUM(F180:F199)-SUM(H180:H184))))</x:f>
      </x:c>
      <x:c r="I185" s="88" t="str">
        <x:f>IF(C185="","",MAX(0,ROUND(D185+E185-F185-G185-H185,2)))</x:f>
      </x:c>
      <x:c r="J185" s="88" t="str">
        <x:f>IF(C185="","",F185+G185+H185)</x:f>
      </x:c>
      <x:c r="K185" s="88" t="str">
        <x:f>IF(C185="","",MAX(0,SUMIFS(SONDERZAHLUNGEN!$E$9:$E$128,SONDERZAHLUNGEN!$B$9:$B$128,C185,SONDERZAHLUNGEN!$C$9:$C$128,A185,SONDERZAHLUNGEN!$H$9:$H$128,"OK",SONDERZAHLUNGEN!$F$9:$F$128,"Ja")-G185))</x:f>
      </x:c>
    </x:row>
    <x:row r="186" ht="19" customHeight="1">
      <x:c r="A186" s="90" t="n">
        <x:f>MONATSBUDGET!$A$16</x:f>
        <x:v>46478</x:v>
      </x:c>
      <x:c r="B186" t="n">
        <x:f>7</x:f>
        <x:v>7</x:v>
      </x:c>
      <x:c r="C186" t="str">
        <x:f>IF($N$15="","",$N$15)</x:f>
      </x:c>
      <x:c r="D186" s="88" t="str">
        <x:f>IF(C186="","",I166)</x:f>
      </x:c>
      <x:c r="E186" s="88" t="str">
        <x:f>IF(C186="","",ROUND(D186*$P$15/12,2))</x:f>
      </x:c>
      <x:c r="F186" s="88" t="str">
        <x:f>IF(C186="","",MIN(D186+E186,$Q$15))</x:f>
      </x:c>
      <x:c r="G186" s="88" t="str">
        <x:f>IF(C186="","",MIN(MAX(0,D186+E186-F186),SUMIFS(SONDERZAHLUNGEN!$E$9:$E$128,SONDERZAHLUNGEN!$B$9:$B$128,C186,SONDERZAHLUNGEN!$C$9:$C$128,A186,SONDERZAHLUNGEN!$H$9:$H$128,"OK",SONDERZAHLUNGEN!$F$9:$F$128,"Ja")))</x:f>
      </x:c>
      <x:c r="H186" s="88" t="str">
        <x:f>IF(C186="","",MIN(MAX(0,D186+E186-F186-G186),MAX(0,IF(MONATSBUDGET!$C$16="",0,MONATSBUDGET!$C$16)-SUM(F180:F199)-SUM(H180:H185))))</x:f>
      </x:c>
      <x:c r="I186" s="88" t="str">
        <x:f>IF(C186="","",MAX(0,ROUND(D186+E186-F186-G186-H186,2)))</x:f>
      </x:c>
      <x:c r="J186" s="88" t="str">
        <x:f>IF(C186="","",F186+G186+H186)</x:f>
      </x:c>
      <x:c r="K186" s="88" t="str">
        <x:f>IF(C186="","",MAX(0,SUMIFS(SONDERZAHLUNGEN!$E$9:$E$128,SONDERZAHLUNGEN!$B$9:$B$128,C186,SONDERZAHLUNGEN!$C$9:$C$128,A186,SONDERZAHLUNGEN!$H$9:$H$128,"OK",SONDERZAHLUNGEN!$F$9:$F$128,"Ja")-G186))</x:f>
      </x:c>
    </x:row>
    <x:row r="187" ht="19" customHeight="1">
      <x:c r="A187" s="90" t="n">
        <x:f>MONATSBUDGET!$A$16</x:f>
        <x:v>46478</x:v>
      </x:c>
      <x:c r="B187" t="n">
        <x:f>8</x:f>
        <x:v>8</x:v>
      </x:c>
      <x:c r="C187" t="str">
        <x:f>IF($N$16="","",$N$16)</x:f>
      </x:c>
      <x:c r="D187" s="88" t="str">
        <x:f>IF(C187="","",I167)</x:f>
      </x:c>
      <x:c r="E187" s="88" t="str">
        <x:f>IF(C187="","",ROUND(D187*$P$16/12,2))</x:f>
      </x:c>
      <x:c r="F187" s="88" t="str">
        <x:f>IF(C187="","",MIN(D187+E187,$Q$16))</x:f>
      </x:c>
      <x:c r="G187" s="88" t="str">
        <x:f>IF(C187="","",MIN(MAX(0,D187+E187-F187),SUMIFS(SONDERZAHLUNGEN!$E$9:$E$128,SONDERZAHLUNGEN!$B$9:$B$128,C187,SONDERZAHLUNGEN!$C$9:$C$128,A187,SONDERZAHLUNGEN!$H$9:$H$128,"OK",SONDERZAHLUNGEN!$F$9:$F$128,"Ja")))</x:f>
      </x:c>
      <x:c r="H187" s="88" t="str">
        <x:f>IF(C187="","",MIN(MAX(0,D187+E187-F187-G187),MAX(0,IF(MONATSBUDGET!$C$16="",0,MONATSBUDGET!$C$16)-SUM(F180:F199)-SUM(H180:H186))))</x:f>
      </x:c>
      <x:c r="I187" s="88" t="str">
        <x:f>IF(C187="","",MAX(0,ROUND(D187+E187-F187-G187-H187,2)))</x:f>
      </x:c>
      <x:c r="J187" s="88" t="str">
        <x:f>IF(C187="","",F187+G187+H187)</x:f>
      </x:c>
      <x:c r="K187" s="88" t="str">
        <x:f>IF(C187="","",MAX(0,SUMIFS(SONDERZAHLUNGEN!$E$9:$E$128,SONDERZAHLUNGEN!$B$9:$B$128,C187,SONDERZAHLUNGEN!$C$9:$C$128,A187,SONDERZAHLUNGEN!$H$9:$H$128,"OK",SONDERZAHLUNGEN!$F$9:$F$128,"Ja")-G187))</x:f>
      </x:c>
    </x:row>
    <x:row r="188" ht="19" customHeight="1">
      <x:c r="A188" s="90" t="n">
        <x:f>MONATSBUDGET!$A$16</x:f>
        <x:v>46478</x:v>
      </x:c>
      <x:c r="B188" t="n">
        <x:f>9</x:f>
        <x:v>9</x:v>
      </x:c>
      <x:c r="C188" t="str">
        <x:f>IF($N$17="","",$N$17)</x:f>
      </x:c>
      <x:c r="D188" s="88" t="str">
        <x:f>IF(C188="","",I168)</x:f>
      </x:c>
      <x:c r="E188" s="88" t="str">
        <x:f>IF(C188="","",ROUND(D188*$P$17/12,2))</x:f>
      </x:c>
      <x:c r="F188" s="88" t="str">
        <x:f>IF(C188="","",MIN(D188+E188,$Q$17))</x:f>
      </x:c>
      <x:c r="G188" s="88" t="str">
        <x:f>IF(C188="","",MIN(MAX(0,D188+E188-F188),SUMIFS(SONDERZAHLUNGEN!$E$9:$E$128,SONDERZAHLUNGEN!$B$9:$B$128,C188,SONDERZAHLUNGEN!$C$9:$C$128,A188,SONDERZAHLUNGEN!$H$9:$H$128,"OK",SONDERZAHLUNGEN!$F$9:$F$128,"Ja")))</x:f>
      </x:c>
      <x:c r="H188" s="88" t="str">
        <x:f>IF(C188="","",MIN(MAX(0,D188+E188-F188-G188),MAX(0,IF(MONATSBUDGET!$C$16="",0,MONATSBUDGET!$C$16)-SUM(F180:F199)-SUM(H180:H187))))</x:f>
      </x:c>
      <x:c r="I188" s="88" t="str">
        <x:f>IF(C188="","",MAX(0,ROUND(D188+E188-F188-G188-H188,2)))</x:f>
      </x:c>
      <x:c r="J188" s="88" t="str">
        <x:f>IF(C188="","",F188+G188+H188)</x:f>
      </x:c>
      <x:c r="K188" s="88" t="str">
        <x:f>IF(C188="","",MAX(0,SUMIFS(SONDERZAHLUNGEN!$E$9:$E$128,SONDERZAHLUNGEN!$B$9:$B$128,C188,SONDERZAHLUNGEN!$C$9:$C$128,A188,SONDERZAHLUNGEN!$H$9:$H$128,"OK",SONDERZAHLUNGEN!$F$9:$F$128,"Ja")-G188))</x:f>
      </x:c>
    </x:row>
    <x:row r="189" ht="19" customHeight="1">
      <x:c r="A189" s="90" t="n">
        <x:f>MONATSBUDGET!$A$16</x:f>
        <x:v>46478</x:v>
      </x:c>
      <x:c r="B189" t="n">
        <x:f>10</x:f>
        <x:v>10</x:v>
      </x:c>
      <x:c r="C189" t="str">
        <x:f>IF($N$18="","",$N$18)</x:f>
      </x:c>
      <x:c r="D189" s="88" t="str">
        <x:f>IF(C189="","",I169)</x:f>
      </x:c>
      <x:c r="E189" s="88" t="str">
        <x:f>IF(C189="","",ROUND(D189*$P$18/12,2))</x:f>
      </x:c>
      <x:c r="F189" s="88" t="str">
        <x:f>IF(C189="","",MIN(D189+E189,$Q$18))</x:f>
      </x:c>
      <x:c r="G189" s="88" t="str">
        <x:f>IF(C189="","",MIN(MAX(0,D189+E189-F189),SUMIFS(SONDERZAHLUNGEN!$E$9:$E$128,SONDERZAHLUNGEN!$B$9:$B$128,C189,SONDERZAHLUNGEN!$C$9:$C$128,A189,SONDERZAHLUNGEN!$H$9:$H$128,"OK",SONDERZAHLUNGEN!$F$9:$F$128,"Ja")))</x:f>
      </x:c>
      <x:c r="H189" s="88" t="str">
        <x:f>IF(C189="","",MIN(MAX(0,D189+E189-F189-G189),MAX(0,IF(MONATSBUDGET!$C$16="",0,MONATSBUDGET!$C$16)-SUM(F180:F199)-SUM(H180:H188))))</x:f>
      </x:c>
      <x:c r="I189" s="88" t="str">
        <x:f>IF(C189="","",MAX(0,ROUND(D189+E189-F189-G189-H189,2)))</x:f>
      </x:c>
      <x:c r="J189" s="88" t="str">
        <x:f>IF(C189="","",F189+G189+H189)</x:f>
      </x:c>
      <x:c r="K189" s="88" t="str">
        <x:f>IF(C189="","",MAX(0,SUMIFS(SONDERZAHLUNGEN!$E$9:$E$128,SONDERZAHLUNGEN!$B$9:$B$128,C189,SONDERZAHLUNGEN!$C$9:$C$128,A189,SONDERZAHLUNGEN!$H$9:$H$128,"OK",SONDERZAHLUNGEN!$F$9:$F$128,"Ja")-G189))</x:f>
      </x:c>
    </x:row>
    <x:row r="190" ht="19" customHeight="1">
      <x:c r="A190" s="90" t="n">
        <x:f>MONATSBUDGET!$A$16</x:f>
        <x:v>46478</x:v>
      </x:c>
      <x:c r="B190" t="n">
        <x:f>11</x:f>
        <x:v>11</x:v>
      </x:c>
      <x:c r="C190" t="str">
        <x:f>IF($N$19="","",$N$19)</x:f>
      </x:c>
      <x:c r="D190" s="88" t="str">
        <x:f>IF(C190="","",I170)</x:f>
      </x:c>
      <x:c r="E190" s="88" t="str">
        <x:f>IF(C190="","",ROUND(D190*$P$19/12,2))</x:f>
      </x:c>
      <x:c r="F190" s="88" t="str">
        <x:f>IF(C190="","",MIN(D190+E190,$Q$19))</x:f>
      </x:c>
      <x:c r="G190" s="88" t="str">
        <x:f>IF(C190="","",MIN(MAX(0,D190+E190-F190),SUMIFS(SONDERZAHLUNGEN!$E$9:$E$128,SONDERZAHLUNGEN!$B$9:$B$128,C190,SONDERZAHLUNGEN!$C$9:$C$128,A190,SONDERZAHLUNGEN!$H$9:$H$128,"OK",SONDERZAHLUNGEN!$F$9:$F$128,"Ja")))</x:f>
      </x:c>
      <x:c r="H190" s="88" t="str">
        <x:f>IF(C190="","",MIN(MAX(0,D190+E190-F190-G190),MAX(0,IF(MONATSBUDGET!$C$16="",0,MONATSBUDGET!$C$16)-SUM(F180:F199)-SUM(H180:H189))))</x:f>
      </x:c>
      <x:c r="I190" s="88" t="str">
        <x:f>IF(C190="","",MAX(0,ROUND(D190+E190-F190-G190-H190,2)))</x:f>
      </x:c>
      <x:c r="J190" s="88" t="str">
        <x:f>IF(C190="","",F190+G190+H190)</x:f>
      </x:c>
      <x:c r="K190" s="88" t="str">
        <x:f>IF(C190="","",MAX(0,SUMIFS(SONDERZAHLUNGEN!$E$9:$E$128,SONDERZAHLUNGEN!$B$9:$B$128,C190,SONDERZAHLUNGEN!$C$9:$C$128,A190,SONDERZAHLUNGEN!$H$9:$H$128,"OK",SONDERZAHLUNGEN!$F$9:$F$128,"Ja")-G190))</x:f>
      </x:c>
    </x:row>
    <x:row r="191" ht="19" customHeight="1">
      <x:c r="A191" s="90" t="n">
        <x:f>MONATSBUDGET!$A$16</x:f>
        <x:v>46478</x:v>
      </x:c>
      <x:c r="B191" t="n">
        <x:f>12</x:f>
        <x:v>12</x:v>
      </x:c>
      <x:c r="C191" t="str">
        <x:f>IF($N$20="","",$N$20)</x:f>
      </x:c>
      <x:c r="D191" s="88" t="str">
        <x:f>IF(C191="","",I171)</x:f>
      </x:c>
      <x:c r="E191" s="88" t="str">
        <x:f>IF(C191="","",ROUND(D191*$P$20/12,2))</x:f>
      </x:c>
      <x:c r="F191" s="88" t="str">
        <x:f>IF(C191="","",MIN(D191+E191,$Q$20))</x:f>
      </x:c>
      <x:c r="G191" s="88" t="str">
        <x:f>IF(C191="","",MIN(MAX(0,D191+E191-F191),SUMIFS(SONDERZAHLUNGEN!$E$9:$E$128,SONDERZAHLUNGEN!$B$9:$B$128,C191,SONDERZAHLUNGEN!$C$9:$C$128,A191,SONDERZAHLUNGEN!$H$9:$H$128,"OK",SONDERZAHLUNGEN!$F$9:$F$128,"Ja")))</x:f>
      </x:c>
      <x:c r="H191" s="88" t="str">
        <x:f>IF(C191="","",MIN(MAX(0,D191+E191-F191-G191),MAX(0,IF(MONATSBUDGET!$C$16="",0,MONATSBUDGET!$C$16)-SUM(F180:F199)-SUM(H180:H190))))</x:f>
      </x:c>
      <x:c r="I191" s="88" t="str">
        <x:f>IF(C191="","",MAX(0,ROUND(D191+E191-F191-G191-H191,2)))</x:f>
      </x:c>
      <x:c r="J191" s="88" t="str">
        <x:f>IF(C191="","",F191+G191+H191)</x:f>
      </x:c>
      <x:c r="K191" s="88" t="str">
        <x:f>IF(C191="","",MAX(0,SUMIFS(SONDERZAHLUNGEN!$E$9:$E$128,SONDERZAHLUNGEN!$B$9:$B$128,C191,SONDERZAHLUNGEN!$C$9:$C$128,A191,SONDERZAHLUNGEN!$H$9:$H$128,"OK",SONDERZAHLUNGEN!$F$9:$F$128,"Ja")-G191))</x:f>
      </x:c>
    </x:row>
    <x:row r="192" ht="19" customHeight="1">
      <x:c r="A192" s="90" t="n">
        <x:f>MONATSBUDGET!$A$16</x:f>
        <x:v>46478</x:v>
      </x:c>
      <x:c r="B192" t="n">
        <x:f>13</x:f>
        <x:v>13</x:v>
      </x:c>
      <x:c r="C192" t="str">
        <x:f>IF($N$21="","",$N$21)</x:f>
      </x:c>
      <x:c r="D192" s="88" t="str">
        <x:f>IF(C192="","",I172)</x:f>
      </x:c>
      <x:c r="E192" s="88" t="str">
        <x:f>IF(C192="","",ROUND(D192*$P$21/12,2))</x:f>
      </x:c>
      <x:c r="F192" s="88" t="str">
        <x:f>IF(C192="","",MIN(D192+E192,$Q$21))</x:f>
      </x:c>
      <x:c r="G192" s="88" t="str">
        <x:f>IF(C192="","",MIN(MAX(0,D192+E192-F192),SUMIFS(SONDERZAHLUNGEN!$E$9:$E$128,SONDERZAHLUNGEN!$B$9:$B$128,C192,SONDERZAHLUNGEN!$C$9:$C$128,A192,SONDERZAHLUNGEN!$H$9:$H$128,"OK",SONDERZAHLUNGEN!$F$9:$F$128,"Ja")))</x:f>
      </x:c>
      <x:c r="H192" s="88" t="str">
        <x:f>IF(C192="","",MIN(MAX(0,D192+E192-F192-G192),MAX(0,IF(MONATSBUDGET!$C$16="",0,MONATSBUDGET!$C$16)-SUM(F180:F199)-SUM(H180:H191))))</x:f>
      </x:c>
      <x:c r="I192" s="88" t="str">
        <x:f>IF(C192="","",MAX(0,ROUND(D192+E192-F192-G192-H192,2)))</x:f>
      </x:c>
      <x:c r="J192" s="88" t="str">
        <x:f>IF(C192="","",F192+G192+H192)</x:f>
      </x:c>
      <x:c r="K192" s="88" t="str">
        <x:f>IF(C192="","",MAX(0,SUMIFS(SONDERZAHLUNGEN!$E$9:$E$128,SONDERZAHLUNGEN!$B$9:$B$128,C192,SONDERZAHLUNGEN!$C$9:$C$128,A192,SONDERZAHLUNGEN!$H$9:$H$128,"OK",SONDERZAHLUNGEN!$F$9:$F$128,"Ja")-G192))</x:f>
      </x:c>
    </x:row>
    <x:row r="193" ht="19" customHeight="1">
      <x:c r="A193" s="90" t="n">
        <x:f>MONATSBUDGET!$A$16</x:f>
        <x:v>46478</x:v>
      </x:c>
      <x:c r="B193" t="n">
        <x:f>14</x:f>
        <x:v>14</x:v>
      </x:c>
      <x:c r="C193" t="str">
        <x:f>IF($N$22="","",$N$22)</x:f>
      </x:c>
      <x:c r="D193" s="88" t="str">
        <x:f>IF(C193="","",I173)</x:f>
      </x:c>
      <x:c r="E193" s="88" t="str">
        <x:f>IF(C193="","",ROUND(D193*$P$22/12,2))</x:f>
      </x:c>
      <x:c r="F193" s="88" t="str">
        <x:f>IF(C193="","",MIN(D193+E193,$Q$22))</x:f>
      </x:c>
      <x:c r="G193" s="88" t="str">
        <x:f>IF(C193="","",MIN(MAX(0,D193+E193-F193),SUMIFS(SONDERZAHLUNGEN!$E$9:$E$128,SONDERZAHLUNGEN!$B$9:$B$128,C193,SONDERZAHLUNGEN!$C$9:$C$128,A193,SONDERZAHLUNGEN!$H$9:$H$128,"OK",SONDERZAHLUNGEN!$F$9:$F$128,"Ja")))</x:f>
      </x:c>
      <x:c r="H193" s="88" t="str">
        <x:f>IF(C193="","",MIN(MAX(0,D193+E193-F193-G193),MAX(0,IF(MONATSBUDGET!$C$16="",0,MONATSBUDGET!$C$16)-SUM(F180:F199)-SUM(H180:H192))))</x:f>
      </x:c>
      <x:c r="I193" s="88" t="str">
        <x:f>IF(C193="","",MAX(0,ROUND(D193+E193-F193-G193-H193,2)))</x:f>
      </x:c>
      <x:c r="J193" s="88" t="str">
        <x:f>IF(C193="","",F193+G193+H193)</x:f>
      </x:c>
      <x:c r="K193" s="88" t="str">
        <x:f>IF(C193="","",MAX(0,SUMIFS(SONDERZAHLUNGEN!$E$9:$E$128,SONDERZAHLUNGEN!$B$9:$B$128,C193,SONDERZAHLUNGEN!$C$9:$C$128,A193,SONDERZAHLUNGEN!$H$9:$H$128,"OK",SONDERZAHLUNGEN!$F$9:$F$128,"Ja")-G193))</x:f>
      </x:c>
    </x:row>
    <x:row r="194" ht="19" customHeight="1">
      <x:c r="A194" s="90" t="n">
        <x:f>MONATSBUDGET!$A$16</x:f>
        <x:v>46478</x:v>
      </x:c>
      <x:c r="B194" t="n">
        <x:f>15</x:f>
        <x:v>15</x:v>
      </x:c>
      <x:c r="C194" t="str">
        <x:f>IF($N$23="","",$N$23)</x:f>
      </x:c>
      <x:c r="D194" s="88" t="str">
        <x:f>IF(C194="","",I174)</x:f>
      </x:c>
      <x:c r="E194" s="88" t="str">
        <x:f>IF(C194="","",ROUND(D194*$P$23/12,2))</x:f>
      </x:c>
      <x:c r="F194" s="88" t="str">
        <x:f>IF(C194="","",MIN(D194+E194,$Q$23))</x:f>
      </x:c>
      <x:c r="G194" s="88" t="str">
        <x:f>IF(C194="","",MIN(MAX(0,D194+E194-F194),SUMIFS(SONDERZAHLUNGEN!$E$9:$E$128,SONDERZAHLUNGEN!$B$9:$B$128,C194,SONDERZAHLUNGEN!$C$9:$C$128,A194,SONDERZAHLUNGEN!$H$9:$H$128,"OK",SONDERZAHLUNGEN!$F$9:$F$128,"Ja")))</x:f>
      </x:c>
      <x:c r="H194" s="88" t="str">
        <x:f>IF(C194="","",MIN(MAX(0,D194+E194-F194-G194),MAX(0,IF(MONATSBUDGET!$C$16="",0,MONATSBUDGET!$C$16)-SUM(F180:F199)-SUM(H180:H193))))</x:f>
      </x:c>
      <x:c r="I194" s="88" t="str">
        <x:f>IF(C194="","",MAX(0,ROUND(D194+E194-F194-G194-H194,2)))</x:f>
      </x:c>
      <x:c r="J194" s="88" t="str">
        <x:f>IF(C194="","",F194+G194+H194)</x:f>
      </x:c>
      <x:c r="K194" s="88" t="str">
        <x:f>IF(C194="","",MAX(0,SUMIFS(SONDERZAHLUNGEN!$E$9:$E$128,SONDERZAHLUNGEN!$B$9:$B$128,C194,SONDERZAHLUNGEN!$C$9:$C$128,A194,SONDERZAHLUNGEN!$H$9:$H$128,"OK",SONDERZAHLUNGEN!$F$9:$F$128,"Ja")-G194))</x:f>
      </x:c>
    </x:row>
    <x:row r="195" ht="19" customHeight="1">
      <x:c r="A195" s="90" t="n">
        <x:f>MONATSBUDGET!$A$16</x:f>
        <x:v>46478</x:v>
      </x:c>
      <x:c r="B195" t="n">
        <x:f>16</x:f>
        <x:v>16</x:v>
      </x:c>
      <x:c r="C195" t="str">
        <x:f>IF($N$24="","",$N$24)</x:f>
      </x:c>
      <x:c r="D195" s="88" t="str">
        <x:f>IF(C195="","",I175)</x:f>
      </x:c>
      <x:c r="E195" s="88" t="str">
        <x:f>IF(C195="","",ROUND(D195*$P$24/12,2))</x:f>
      </x:c>
      <x:c r="F195" s="88" t="str">
        <x:f>IF(C195="","",MIN(D195+E195,$Q$24))</x:f>
      </x:c>
      <x:c r="G195" s="88" t="str">
        <x:f>IF(C195="","",MIN(MAX(0,D195+E195-F195),SUMIFS(SONDERZAHLUNGEN!$E$9:$E$128,SONDERZAHLUNGEN!$B$9:$B$128,C195,SONDERZAHLUNGEN!$C$9:$C$128,A195,SONDERZAHLUNGEN!$H$9:$H$128,"OK",SONDERZAHLUNGEN!$F$9:$F$128,"Ja")))</x:f>
      </x:c>
      <x:c r="H195" s="88" t="str">
        <x:f>IF(C195="","",MIN(MAX(0,D195+E195-F195-G195),MAX(0,IF(MONATSBUDGET!$C$16="",0,MONATSBUDGET!$C$16)-SUM(F180:F199)-SUM(H180:H194))))</x:f>
      </x:c>
      <x:c r="I195" s="88" t="str">
        <x:f>IF(C195="","",MAX(0,ROUND(D195+E195-F195-G195-H195,2)))</x:f>
      </x:c>
      <x:c r="J195" s="88" t="str">
        <x:f>IF(C195="","",F195+G195+H195)</x:f>
      </x:c>
      <x:c r="K195" s="88" t="str">
        <x:f>IF(C195="","",MAX(0,SUMIFS(SONDERZAHLUNGEN!$E$9:$E$128,SONDERZAHLUNGEN!$B$9:$B$128,C195,SONDERZAHLUNGEN!$C$9:$C$128,A195,SONDERZAHLUNGEN!$H$9:$H$128,"OK",SONDERZAHLUNGEN!$F$9:$F$128,"Ja")-G195))</x:f>
      </x:c>
    </x:row>
    <x:row r="196" ht="19" customHeight="1">
      <x:c r="A196" s="90" t="n">
        <x:f>MONATSBUDGET!$A$16</x:f>
        <x:v>46478</x:v>
      </x:c>
      <x:c r="B196" t="n">
        <x:f>17</x:f>
        <x:v>17</x:v>
      </x:c>
      <x:c r="C196" t="str">
        <x:f>IF($N$25="","",$N$25)</x:f>
      </x:c>
      <x:c r="D196" s="88" t="str">
        <x:f>IF(C196="","",I176)</x:f>
      </x:c>
      <x:c r="E196" s="88" t="str">
        <x:f>IF(C196="","",ROUND(D196*$P$25/12,2))</x:f>
      </x:c>
      <x:c r="F196" s="88" t="str">
        <x:f>IF(C196="","",MIN(D196+E196,$Q$25))</x:f>
      </x:c>
      <x:c r="G196" s="88" t="str">
        <x:f>IF(C196="","",MIN(MAX(0,D196+E196-F196),SUMIFS(SONDERZAHLUNGEN!$E$9:$E$128,SONDERZAHLUNGEN!$B$9:$B$128,C196,SONDERZAHLUNGEN!$C$9:$C$128,A196,SONDERZAHLUNGEN!$H$9:$H$128,"OK",SONDERZAHLUNGEN!$F$9:$F$128,"Ja")))</x:f>
      </x:c>
      <x:c r="H196" s="88" t="str">
        <x:f>IF(C196="","",MIN(MAX(0,D196+E196-F196-G196),MAX(0,IF(MONATSBUDGET!$C$16="",0,MONATSBUDGET!$C$16)-SUM(F180:F199)-SUM(H180:H195))))</x:f>
      </x:c>
      <x:c r="I196" s="88" t="str">
        <x:f>IF(C196="","",MAX(0,ROUND(D196+E196-F196-G196-H196,2)))</x:f>
      </x:c>
      <x:c r="J196" s="88" t="str">
        <x:f>IF(C196="","",F196+G196+H196)</x:f>
      </x:c>
      <x:c r="K196" s="88" t="str">
        <x:f>IF(C196="","",MAX(0,SUMIFS(SONDERZAHLUNGEN!$E$9:$E$128,SONDERZAHLUNGEN!$B$9:$B$128,C196,SONDERZAHLUNGEN!$C$9:$C$128,A196,SONDERZAHLUNGEN!$H$9:$H$128,"OK",SONDERZAHLUNGEN!$F$9:$F$128,"Ja")-G196))</x:f>
      </x:c>
    </x:row>
    <x:row r="197" ht="19" customHeight="1">
      <x:c r="A197" s="90" t="n">
        <x:f>MONATSBUDGET!$A$16</x:f>
        <x:v>46478</x:v>
      </x:c>
      <x:c r="B197" t="n">
        <x:f>18</x:f>
        <x:v>18</x:v>
      </x:c>
      <x:c r="C197" t="str">
        <x:f>IF($N$26="","",$N$26)</x:f>
      </x:c>
      <x:c r="D197" s="88" t="str">
        <x:f>IF(C197="","",I177)</x:f>
      </x:c>
      <x:c r="E197" s="88" t="str">
        <x:f>IF(C197="","",ROUND(D197*$P$26/12,2))</x:f>
      </x:c>
      <x:c r="F197" s="88" t="str">
        <x:f>IF(C197="","",MIN(D197+E197,$Q$26))</x:f>
      </x:c>
      <x:c r="G197" s="88" t="str">
        <x:f>IF(C197="","",MIN(MAX(0,D197+E197-F197),SUMIFS(SONDERZAHLUNGEN!$E$9:$E$128,SONDERZAHLUNGEN!$B$9:$B$128,C197,SONDERZAHLUNGEN!$C$9:$C$128,A197,SONDERZAHLUNGEN!$H$9:$H$128,"OK",SONDERZAHLUNGEN!$F$9:$F$128,"Ja")))</x:f>
      </x:c>
      <x:c r="H197" s="88" t="str">
        <x:f>IF(C197="","",MIN(MAX(0,D197+E197-F197-G197),MAX(0,IF(MONATSBUDGET!$C$16="",0,MONATSBUDGET!$C$16)-SUM(F180:F199)-SUM(H180:H196))))</x:f>
      </x:c>
      <x:c r="I197" s="88" t="str">
        <x:f>IF(C197="","",MAX(0,ROUND(D197+E197-F197-G197-H197,2)))</x:f>
      </x:c>
      <x:c r="J197" s="88" t="str">
        <x:f>IF(C197="","",F197+G197+H197)</x:f>
      </x:c>
      <x:c r="K197" s="88" t="str">
        <x:f>IF(C197="","",MAX(0,SUMIFS(SONDERZAHLUNGEN!$E$9:$E$128,SONDERZAHLUNGEN!$B$9:$B$128,C197,SONDERZAHLUNGEN!$C$9:$C$128,A197,SONDERZAHLUNGEN!$H$9:$H$128,"OK",SONDERZAHLUNGEN!$F$9:$F$128,"Ja")-G197))</x:f>
      </x:c>
    </x:row>
    <x:row r="198" ht="19" customHeight="1">
      <x:c r="A198" s="90" t="n">
        <x:f>MONATSBUDGET!$A$16</x:f>
        <x:v>46478</x:v>
      </x:c>
      <x:c r="B198" t="n">
        <x:f>19</x:f>
        <x:v>19</x:v>
      </x:c>
      <x:c r="C198" t="str">
        <x:f>IF($N$27="","",$N$27)</x:f>
      </x:c>
      <x:c r="D198" s="88" t="str">
        <x:f>IF(C198="","",I178)</x:f>
      </x:c>
      <x:c r="E198" s="88" t="str">
        <x:f>IF(C198="","",ROUND(D198*$P$27/12,2))</x:f>
      </x:c>
      <x:c r="F198" s="88" t="str">
        <x:f>IF(C198="","",MIN(D198+E198,$Q$27))</x:f>
      </x:c>
      <x:c r="G198" s="88" t="str">
        <x:f>IF(C198="","",MIN(MAX(0,D198+E198-F198),SUMIFS(SONDERZAHLUNGEN!$E$9:$E$128,SONDERZAHLUNGEN!$B$9:$B$128,C198,SONDERZAHLUNGEN!$C$9:$C$128,A198,SONDERZAHLUNGEN!$H$9:$H$128,"OK",SONDERZAHLUNGEN!$F$9:$F$128,"Ja")))</x:f>
      </x:c>
      <x:c r="H198" s="88" t="str">
        <x:f>IF(C198="","",MIN(MAX(0,D198+E198-F198-G198),MAX(0,IF(MONATSBUDGET!$C$16="",0,MONATSBUDGET!$C$16)-SUM(F180:F199)-SUM(H180:H197))))</x:f>
      </x:c>
      <x:c r="I198" s="88" t="str">
        <x:f>IF(C198="","",MAX(0,ROUND(D198+E198-F198-G198-H198,2)))</x:f>
      </x:c>
      <x:c r="J198" s="88" t="str">
        <x:f>IF(C198="","",F198+G198+H198)</x:f>
      </x:c>
      <x:c r="K198" s="88" t="str">
        <x:f>IF(C198="","",MAX(0,SUMIFS(SONDERZAHLUNGEN!$E$9:$E$128,SONDERZAHLUNGEN!$B$9:$B$128,C198,SONDERZAHLUNGEN!$C$9:$C$128,A198,SONDERZAHLUNGEN!$H$9:$H$128,"OK",SONDERZAHLUNGEN!$F$9:$F$128,"Ja")-G198))</x:f>
      </x:c>
    </x:row>
    <x:row r="199" ht="19" customHeight="1">
      <x:c r="A199" s="90" t="n">
        <x:f>MONATSBUDGET!$A$16</x:f>
        <x:v>46478</x:v>
      </x:c>
      <x:c r="B199" t="n">
        <x:f>20</x:f>
        <x:v>20</x:v>
      </x:c>
      <x:c r="C199" t="str">
        <x:f>IF($N$28="","",$N$28)</x:f>
      </x:c>
      <x:c r="D199" s="88" t="str">
        <x:f>IF(C199="","",I179)</x:f>
      </x:c>
      <x:c r="E199" s="88" t="str">
        <x:f>IF(C199="","",ROUND(D199*$P$28/12,2))</x:f>
      </x:c>
      <x:c r="F199" s="88" t="str">
        <x:f>IF(C199="","",MIN(D199+E199,$Q$28))</x:f>
      </x:c>
      <x:c r="G199" s="88" t="str">
        <x:f>IF(C199="","",MIN(MAX(0,D199+E199-F199),SUMIFS(SONDERZAHLUNGEN!$E$9:$E$128,SONDERZAHLUNGEN!$B$9:$B$128,C199,SONDERZAHLUNGEN!$C$9:$C$128,A199,SONDERZAHLUNGEN!$H$9:$H$128,"OK",SONDERZAHLUNGEN!$F$9:$F$128,"Ja")))</x:f>
      </x:c>
      <x:c r="H199" s="88" t="str">
        <x:f>IF(C199="","",MIN(MAX(0,D199+E199-F199-G199),MAX(0,IF(MONATSBUDGET!$C$16="",0,MONATSBUDGET!$C$16)-SUM(F180:F199)-SUM(H180:H198))))</x:f>
      </x:c>
      <x:c r="I199" s="88" t="str">
        <x:f>IF(C199="","",MAX(0,ROUND(D199+E199-F199-G199-H199,2)))</x:f>
      </x:c>
      <x:c r="J199" s="88" t="str">
        <x:f>IF(C199="","",F199+G199+H199)</x:f>
      </x:c>
      <x:c r="K199" s="88" t="str">
        <x:f>IF(C199="","",MAX(0,SUMIFS(SONDERZAHLUNGEN!$E$9:$E$128,SONDERZAHLUNGEN!$B$9:$B$128,C199,SONDERZAHLUNGEN!$C$9:$C$128,A199,SONDERZAHLUNGEN!$H$9:$H$128,"OK",SONDERZAHLUNGEN!$F$9:$F$128,"Ja")-G199))</x:f>
      </x:c>
    </x:row>
    <x:row r="200" ht="19" customHeight="1">
      <x:c r="A200" s="90" t="n">
        <x:f>MONATSBUDGET!$A$17</x:f>
        <x:v>46508</x:v>
      </x:c>
      <x:c r="B200" t="n">
        <x:f>1</x:f>
        <x:v>1</x:v>
      </x:c>
      <x:c r="C200" t="str">
        <x:f>IF($N$9="","",$N$9)</x:f>
      </x:c>
      <x:c r="D200" s="88" t="str">
        <x:f>IF(C200="","",I180)</x:f>
      </x:c>
      <x:c r="E200" s="88" t="str">
        <x:f>IF(C200="","",ROUND(D200*$P$9/12,2))</x:f>
      </x:c>
      <x:c r="F200" s="88" t="str">
        <x:f>IF(C200="","",MIN(D200+E200,$Q$9))</x:f>
      </x:c>
      <x:c r="G200" s="88" t="str">
        <x:f>IF(C200="","",MIN(MAX(0,D200+E200-F200),SUMIFS(SONDERZAHLUNGEN!$E$9:$E$128,SONDERZAHLUNGEN!$B$9:$B$128,C200,SONDERZAHLUNGEN!$C$9:$C$128,A200,SONDERZAHLUNGEN!$H$9:$H$128,"OK",SONDERZAHLUNGEN!$F$9:$F$128,"Ja")))</x:f>
      </x:c>
      <x:c r="H200" s="88" t="str">
        <x:f>IF(C200="","",MIN(MAX(0,D200+E200-F200-G200),MAX(0,IF(MONATSBUDGET!$C$17="",0,MONATSBUDGET!$C$17)-SUM(F200:F219)-0)))</x:f>
      </x:c>
      <x:c r="I200" s="88" t="str">
        <x:f>IF(C200="","",MAX(0,ROUND(D200+E200-F200-G200-H200,2)))</x:f>
      </x:c>
      <x:c r="J200" s="88" t="str">
        <x:f>IF(C200="","",F200+G200+H200)</x:f>
      </x:c>
      <x:c r="K200" s="88" t="str">
        <x:f>IF(C200="","",MAX(0,SUMIFS(SONDERZAHLUNGEN!$E$9:$E$128,SONDERZAHLUNGEN!$B$9:$B$128,C200,SONDERZAHLUNGEN!$C$9:$C$128,A200,SONDERZAHLUNGEN!$H$9:$H$128,"OK",SONDERZAHLUNGEN!$F$9:$F$128,"Ja")-G200))</x:f>
      </x:c>
    </x:row>
    <x:row r="201" ht="19" customHeight="1">
      <x:c r="A201" s="90" t="n">
        <x:f>MONATSBUDGET!$A$17</x:f>
        <x:v>46508</x:v>
      </x:c>
      <x:c r="B201" t="n">
        <x:f>2</x:f>
        <x:v>2</x:v>
      </x:c>
      <x:c r="C201" t="str">
        <x:f>IF($N$10="","",$N$10)</x:f>
      </x:c>
      <x:c r="D201" s="88" t="str">
        <x:f>IF(C201="","",I181)</x:f>
      </x:c>
      <x:c r="E201" s="88" t="str">
        <x:f>IF(C201="","",ROUND(D201*$P$10/12,2))</x:f>
      </x:c>
      <x:c r="F201" s="88" t="str">
        <x:f>IF(C201="","",MIN(D201+E201,$Q$10))</x:f>
      </x:c>
      <x:c r="G201" s="88" t="str">
        <x:f>IF(C201="","",MIN(MAX(0,D201+E201-F201),SUMIFS(SONDERZAHLUNGEN!$E$9:$E$128,SONDERZAHLUNGEN!$B$9:$B$128,C201,SONDERZAHLUNGEN!$C$9:$C$128,A201,SONDERZAHLUNGEN!$H$9:$H$128,"OK",SONDERZAHLUNGEN!$F$9:$F$128,"Ja")))</x:f>
      </x:c>
      <x:c r="H201" s="88" t="str">
        <x:f>IF(C201="","",MIN(MAX(0,D201+E201-F201-G201),MAX(0,IF(MONATSBUDGET!$C$17="",0,MONATSBUDGET!$C$17)-SUM(F200:F219)-SUM(H200:H200))))</x:f>
      </x:c>
      <x:c r="I201" s="88" t="str">
        <x:f>IF(C201="","",MAX(0,ROUND(D201+E201-F201-G201-H201,2)))</x:f>
      </x:c>
      <x:c r="J201" s="88" t="str">
        <x:f>IF(C201="","",F201+G201+H201)</x:f>
      </x:c>
      <x:c r="K201" s="88" t="str">
        <x:f>IF(C201="","",MAX(0,SUMIFS(SONDERZAHLUNGEN!$E$9:$E$128,SONDERZAHLUNGEN!$B$9:$B$128,C201,SONDERZAHLUNGEN!$C$9:$C$128,A201,SONDERZAHLUNGEN!$H$9:$H$128,"OK",SONDERZAHLUNGEN!$F$9:$F$128,"Ja")-G201))</x:f>
      </x:c>
    </x:row>
    <x:row r="202" ht="19" customHeight="1">
      <x:c r="A202" s="90" t="n">
        <x:f>MONATSBUDGET!$A$17</x:f>
        <x:v>46508</x:v>
      </x:c>
      <x:c r="B202" t="n">
        <x:f>3</x:f>
        <x:v>3</x:v>
      </x:c>
      <x:c r="C202" t="str">
        <x:f>IF($N$11="","",$N$11)</x:f>
      </x:c>
      <x:c r="D202" s="88" t="str">
        <x:f>IF(C202="","",I182)</x:f>
      </x:c>
      <x:c r="E202" s="88" t="str">
        <x:f>IF(C202="","",ROUND(D202*$P$11/12,2))</x:f>
      </x:c>
      <x:c r="F202" s="88" t="str">
        <x:f>IF(C202="","",MIN(D202+E202,$Q$11))</x:f>
      </x:c>
      <x:c r="G202" s="88" t="str">
        <x:f>IF(C202="","",MIN(MAX(0,D202+E202-F202),SUMIFS(SONDERZAHLUNGEN!$E$9:$E$128,SONDERZAHLUNGEN!$B$9:$B$128,C202,SONDERZAHLUNGEN!$C$9:$C$128,A202,SONDERZAHLUNGEN!$H$9:$H$128,"OK",SONDERZAHLUNGEN!$F$9:$F$128,"Ja")))</x:f>
      </x:c>
      <x:c r="H202" s="88" t="str">
        <x:f>IF(C202="","",MIN(MAX(0,D202+E202-F202-G202),MAX(0,IF(MONATSBUDGET!$C$17="",0,MONATSBUDGET!$C$17)-SUM(F200:F219)-SUM(H200:H201))))</x:f>
      </x:c>
      <x:c r="I202" s="88" t="str">
        <x:f>IF(C202="","",MAX(0,ROUND(D202+E202-F202-G202-H202,2)))</x:f>
      </x:c>
      <x:c r="J202" s="88" t="str">
        <x:f>IF(C202="","",F202+G202+H202)</x:f>
      </x:c>
      <x:c r="K202" s="88" t="str">
        <x:f>IF(C202="","",MAX(0,SUMIFS(SONDERZAHLUNGEN!$E$9:$E$128,SONDERZAHLUNGEN!$B$9:$B$128,C202,SONDERZAHLUNGEN!$C$9:$C$128,A202,SONDERZAHLUNGEN!$H$9:$H$128,"OK",SONDERZAHLUNGEN!$F$9:$F$128,"Ja")-G202))</x:f>
      </x:c>
    </x:row>
    <x:row r="203" ht="19" customHeight="1">
      <x:c r="A203" s="90" t="n">
        <x:f>MONATSBUDGET!$A$17</x:f>
        <x:v>46508</x:v>
      </x:c>
      <x:c r="B203" t="n">
        <x:f>4</x:f>
        <x:v>4</x:v>
      </x:c>
      <x:c r="C203" t="str">
        <x:f>IF($N$12="","",$N$12)</x:f>
      </x:c>
      <x:c r="D203" s="88" t="str">
        <x:f>IF(C203="","",I183)</x:f>
      </x:c>
      <x:c r="E203" s="88" t="str">
        <x:f>IF(C203="","",ROUND(D203*$P$12/12,2))</x:f>
      </x:c>
      <x:c r="F203" s="88" t="str">
        <x:f>IF(C203="","",MIN(D203+E203,$Q$12))</x:f>
      </x:c>
      <x:c r="G203" s="88" t="str">
        <x:f>IF(C203="","",MIN(MAX(0,D203+E203-F203),SUMIFS(SONDERZAHLUNGEN!$E$9:$E$128,SONDERZAHLUNGEN!$B$9:$B$128,C203,SONDERZAHLUNGEN!$C$9:$C$128,A203,SONDERZAHLUNGEN!$H$9:$H$128,"OK",SONDERZAHLUNGEN!$F$9:$F$128,"Ja")))</x:f>
      </x:c>
      <x:c r="H203" s="88" t="str">
        <x:f>IF(C203="","",MIN(MAX(0,D203+E203-F203-G203),MAX(0,IF(MONATSBUDGET!$C$17="",0,MONATSBUDGET!$C$17)-SUM(F200:F219)-SUM(H200:H202))))</x:f>
      </x:c>
      <x:c r="I203" s="88" t="str">
        <x:f>IF(C203="","",MAX(0,ROUND(D203+E203-F203-G203-H203,2)))</x:f>
      </x:c>
      <x:c r="J203" s="88" t="str">
        <x:f>IF(C203="","",F203+G203+H203)</x:f>
      </x:c>
      <x:c r="K203" s="88" t="str">
        <x:f>IF(C203="","",MAX(0,SUMIFS(SONDERZAHLUNGEN!$E$9:$E$128,SONDERZAHLUNGEN!$B$9:$B$128,C203,SONDERZAHLUNGEN!$C$9:$C$128,A203,SONDERZAHLUNGEN!$H$9:$H$128,"OK",SONDERZAHLUNGEN!$F$9:$F$128,"Ja")-G203))</x:f>
      </x:c>
    </x:row>
    <x:row r="204" ht="19" customHeight="1">
      <x:c r="A204" s="90" t="n">
        <x:f>MONATSBUDGET!$A$17</x:f>
        <x:v>46508</x:v>
      </x:c>
      <x:c r="B204" t="n">
        <x:f>5</x:f>
        <x:v>5</x:v>
      </x:c>
      <x:c r="C204" t="str">
        <x:f>IF($N$13="","",$N$13)</x:f>
      </x:c>
      <x:c r="D204" s="88" t="str">
        <x:f>IF(C204="","",I184)</x:f>
      </x:c>
      <x:c r="E204" s="88" t="str">
        <x:f>IF(C204="","",ROUND(D204*$P$13/12,2))</x:f>
      </x:c>
      <x:c r="F204" s="88" t="str">
        <x:f>IF(C204="","",MIN(D204+E204,$Q$13))</x:f>
      </x:c>
      <x:c r="G204" s="88" t="str">
        <x:f>IF(C204="","",MIN(MAX(0,D204+E204-F204),SUMIFS(SONDERZAHLUNGEN!$E$9:$E$128,SONDERZAHLUNGEN!$B$9:$B$128,C204,SONDERZAHLUNGEN!$C$9:$C$128,A204,SONDERZAHLUNGEN!$H$9:$H$128,"OK",SONDERZAHLUNGEN!$F$9:$F$128,"Ja")))</x:f>
      </x:c>
      <x:c r="H204" s="88" t="str">
        <x:f>IF(C204="","",MIN(MAX(0,D204+E204-F204-G204),MAX(0,IF(MONATSBUDGET!$C$17="",0,MONATSBUDGET!$C$17)-SUM(F200:F219)-SUM(H200:H203))))</x:f>
      </x:c>
      <x:c r="I204" s="88" t="str">
        <x:f>IF(C204="","",MAX(0,ROUND(D204+E204-F204-G204-H204,2)))</x:f>
      </x:c>
      <x:c r="J204" s="88" t="str">
        <x:f>IF(C204="","",F204+G204+H204)</x:f>
      </x:c>
      <x:c r="K204" s="88" t="str">
        <x:f>IF(C204="","",MAX(0,SUMIFS(SONDERZAHLUNGEN!$E$9:$E$128,SONDERZAHLUNGEN!$B$9:$B$128,C204,SONDERZAHLUNGEN!$C$9:$C$128,A204,SONDERZAHLUNGEN!$H$9:$H$128,"OK",SONDERZAHLUNGEN!$F$9:$F$128,"Ja")-G204))</x:f>
      </x:c>
    </x:row>
    <x:row r="205" ht="19" customHeight="1">
      <x:c r="A205" s="90" t="n">
        <x:f>MONATSBUDGET!$A$17</x:f>
        <x:v>46508</x:v>
      </x:c>
      <x:c r="B205" t="n">
        <x:f>6</x:f>
        <x:v>6</x:v>
      </x:c>
      <x:c r="C205" t="str">
        <x:f>IF($N$14="","",$N$14)</x:f>
      </x:c>
      <x:c r="D205" s="88" t="str">
        <x:f>IF(C205="","",I185)</x:f>
      </x:c>
      <x:c r="E205" s="88" t="str">
        <x:f>IF(C205="","",ROUND(D205*$P$14/12,2))</x:f>
      </x:c>
      <x:c r="F205" s="88" t="str">
        <x:f>IF(C205="","",MIN(D205+E205,$Q$14))</x:f>
      </x:c>
      <x:c r="G205" s="88" t="str">
        <x:f>IF(C205="","",MIN(MAX(0,D205+E205-F205),SUMIFS(SONDERZAHLUNGEN!$E$9:$E$128,SONDERZAHLUNGEN!$B$9:$B$128,C205,SONDERZAHLUNGEN!$C$9:$C$128,A205,SONDERZAHLUNGEN!$H$9:$H$128,"OK",SONDERZAHLUNGEN!$F$9:$F$128,"Ja")))</x:f>
      </x:c>
      <x:c r="H205" s="88" t="str">
        <x:f>IF(C205="","",MIN(MAX(0,D205+E205-F205-G205),MAX(0,IF(MONATSBUDGET!$C$17="",0,MONATSBUDGET!$C$17)-SUM(F200:F219)-SUM(H200:H204))))</x:f>
      </x:c>
      <x:c r="I205" s="88" t="str">
        <x:f>IF(C205="","",MAX(0,ROUND(D205+E205-F205-G205-H205,2)))</x:f>
      </x:c>
      <x:c r="J205" s="88" t="str">
        <x:f>IF(C205="","",F205+G205+H205)</x:f>
      </x:c>
      <x:c r="K205" s="88" t="str">
        <x:f>IF(C205="","",MAX(0,SUMIFS(SONDERZAHLUNGEN!$E$9:$E$128,SONDERZAHLUNGEN!$B$9:$B$128,C205,SONDERZAHLUNGEN!$C$9:$C$128,A205,SONDERZAHLUNGEN!$H$9:$H$128,"OK",SONDERZAHLUNGEN!$F$9:$F$128,"Ja")-G205))</x:f>
      </x:c>
    </x:row>
    <x:row r="206" ht="19" customHeight="1">
      <x:c r="A206" s="90" t="n">
        <x:f>MONATSBUDGET!$A$17</x:f>
        <x:v>46508</x:v>
      </x:c>
      <x:c r="B206" t="n">
        <x:f>7</x:f>
        <x:v>7</x:v>
      </x:c>
      <x:c r="C206" t="str">
        <x:f>IF($N$15="","",$N$15)</x:f>
      </x:c>
      <x:c r="D206" s="88" t="str">
        <x:f>IF(C206="","",I186)</x:f>
      </x:c>
      <x:c r="E206" s="88" t="str">
        <x:f>IF(C206="","",ROUND(D206*$P$15/12,2))</x:f>
      </x:c>
      <x:c r="F206" s="88" t="str">
        <x:f>IF(C206="","",MIN(D206+E206,$Q$15))</x:f>
      </x:c>
      <x:c r="G206" s="88" t="str">
        <x:f>IF(C206="","",MIN(MAX(0,D206+E206-F206),SUMIFS(SONDERZAHLUNGEN!$E$9:$E$128,SONDERZAHLUNGEN!$B$9:$B$128,C206,SONDERZAHLUNGEN!$C$9:$C$128,A206,SONDERZAHLUNGEN!$H$9:$H$128,"OK",SONDERZAHLUNGEN!$F$9:$F$128,"Ja")))</x:f>
      </x:c>
      <x:c r="H206" s="88" t="str">
        <x:f>IF(C206="","",MIN(MAX(0,D206+E206-F206-G206),MAX(0,IF(MONATSBUDGET!$C$17="",0,MONATSBUDGET!$C$17)-SUM(F200:F219)-SUM(H200:H205))))</x:f>
      </x:c>
      <x:c r="I206" s="88" t="str">
        <x:f>IF(C206="","",MAX(0,ROUND(D206+E206-F206-G206-H206,2)))</x:f>
      </x:c>
      <x:c r="J206" s="88" t="str">
        <x:f>IF(C206="","",F206+G206+H206)</x:f>
      </x:c>
      <x:c r="K206" s="88" t="str">
        <x:f>IF(C206="","",MAX(0,SUMIFS(SONDERZAHLUNGEN!$E$9:$E$128,SONDERZAHLUNGEN!$B$9:$B$128,C206,SONDERZAHLUNGEN!$C$9:$C$128,A206,SONDERZAHLUNGEN!$H$9:$H$128,"OK",SONDERZAHLUNGEN!$F$9:$F$128,"Ja")-G206))</x:f>
      </x:c>
    </x:row>
    <x:row r="207" ht="19" customHeight="1">
      <x:c r="A207" s="90" t="n">
        <x:f>MONATSBUDGET!$A$17</x:f>
        <x:v>46508</x:v>
      </x:c>
      <x:c r="B207" t="n">
        <x:f>8</x:f>
        <x:v>8</x:v>
      </x:c>
      <x:c r="C207" t="str">
        <x:f>IF($N$16="","",$N$16)</x:f>
      </x:c>
      <x:c r="D207" s="88" t="str">
        <x:f>IF(C207="","",I187)</x:f>
      </x:c>
      <x:c r="E207" s="88" t="str">
        <x:f>IF(C207="","",ROUND(D207*$P$16/12,2))</x:f>
      </x:c>
      <x:c r="F207" s="88" t="str">
        <x:f>IF(C207="","",MIN(D207+E207,$Q$16))</x:f>
      </x:c>
      <x:c r="G207" s="88" t="str">
        <x:f>IF(C207="","",MIN(MAX(0,D207+E207-F207),SUMIFS(SONDERZAHLUNGEN!$E$9:$E$128,SONDERZAHLUNGEN!$B$9:$B$128,C207,SONDERZAHLUNGEN!$C$9:$C$128,A207,SONDERZAHLUNGEN!$H$9:$H$128,"OK",SONDERZAHLUNGEN!$F$9:$F$128,"Ja")))</x:f>
      </x:c>
      <x:c r="H207" s="88" t="str">
        <x:f>IF(C207="","",MIN(MAX(0,D207+E207-F207-G207),MAX(0,IF(MONATSBUDGET!$C$17="",0,MONATSBUDGET!$C$17)-SUM(F200:F219)-SUM(H200:H206))))</x:f>
      </x:c>
      <x:c r="I207" s="88" t="str">
        <x:f>IF(C207="","",MAX(0,ROUND(D207+E207-F207-G207-H207,2)))</x:f>
      </x:c>
      <x:c r="J207" s="88" t="str">
        <x:f>IF(C207="","",F207+G207+H207)</x:f>
      </x:c>
      <x:c r="K207" s="88" t="str">
        <x:f>IF(C207="","",MAX(0,SUMIFS(SONDERZAHLUNGEN!$E$9:$E$128,SONDERZAHLUNGEN!$B$9:$B$128,C207,SONDERZAHLUNGEN!$C$9:$C$128,A207,SONDERZAHLUNGEN!$H$9:$H$128,"OK",SONDERZAHLUNGEN!$F$9:$F$128,"Ja")-G207))</x:f>
      </x:c>
    </x:row>
    <x:row r="208" ht="19" customHeight="1">
      <x:c r="A208" s="90" t="n">
        <x:f>MONATSBUDGET!$A$17</x:f>
        <x:v>46508</x:v>
      </x:c>
      <x:c r="B208" t="n">
        <x:f>9</x:f>
        <x:v>9</x:v>
      </x:c>
      <x:c r="C208" t="str">
        <x:f>IF($N$17="","",$N$17)</x:f>
      </x:c>
      <x:c r="D208" s="88" t="str">
        <x:f>IF(C208="","",I188)</x:f>
      </x:c>
      <x:c r="E208" s="88" t="str">
        <x:f>IF(C208="","",ROUND(D208*$P$17/12,2))</x:f>
      </x:c>
      <x:c r="F208" s="88" t="str">
        <x:f>IF(C208="","",MIN(D208+E208,$Q$17))</x:f>
      </x:c>
      <x:c r="G208" s="88" t="str">
        <x:f>IF(C208="","",MIN(MAX(0,D208+E208-F208),SUMIFS(SONDERZAHLUNGEN!$E$9:$E$128,SONDERZAHLUNGEN!$B$9:$B$128,C208,SONDERZAHLUNGEN!$C$9:$C$128,A208,SONDERZAHLUNGEN!$H$9:$H$128,"OK",SONDERZAHLUNGEN!$F$9:$F$128,"Ja")))</x:f>
      </x:c>
      <x:c r="H208" s="88" t="str">
        <x:f>IF(C208="","",MIN(MAX(0,D208+E208-F208-G208),MAX(0,IF(MONATSBUDGET!$C$17="",0,MONATSBUDGET!$C$17)-SUM(F200:F219)-SUM(H200:H207))))</x:f>
      </x:c>
      <x:c r="I208" s="88" t="str">
        <x:f>IF(C208="","",MAX(0,ROUND(D208+E208-F208-G208-H208,2)))</x:f>
      </x:c>
      <x:c r="J208" s="88" t="str">
        <x:f>IF(C208="","",F208+G208+H208)</x:f>
      </x:c>
      <x:c r="K208" s="88" t="str">
        <x:f>IF(C208="","",MAX(0,SUMIFS(SONDERZAHLUNGEN!$E$9:$E$128,SONDERZAHLUNGEN!$B$9:$B$128,C208,SONDERZAHLUNGEN!$C$9:$C$128,A208,SONDERZAHLUNGEN!$H$9:$H$128,"OK",SONDERZAHLUNGEN!$F$9:$F$128,"Ja")-G208))</x:f>
      </x:c>
    </x:row>
    <x:row r="209" ht="19" customHeight="1">
      <x:c r="A209" s="90" t="n">
        <x:f>MONATSBUDGET!$A$17</x:f>
        <x:v>46508</x:v>
      </x:c>
      <x:c r="B209" t="n">
        <x:f>10</x:f>
        <x:v>10</x:v>
      </x:c>
      <x:c r="C209" t="str">
        <x:f>IF($N$18="","",$N$18)</x:f>
      </x:c>
      <x:c r="D209" s="88" t="str">
        <x:f>IF(C209="","",I189)</x:f>
      </x:c>
      <x:c r="E209" s="88" t="str">
        <x:f>IF(C209="","",ROUND(D209*$P$18/12,2))</x:f>
      </x:c>
      <x:c r="F209" s="88" t="str">
        <x:f>IF(C209="","",MIN(D209+E209,$Q$18))</x:f>
      </x:c>
      <x:c r="G209" s="88" t="str">
        <x:f>IF(C209="","",MIN(MAX(0,D209+E209-F209),SUMIFS(SONDERZAHLUNGEN!$E$9:$E$128,SONDERZAHLUNGEN!$B$9:$B$128,C209,SONDERZAHLUNGEN!$C$9:$C$128,A209,SONDERZAHLUNGEN!$H$9:$H$128,"OK",SONDERZAHLUNGEN!$F$9:$F$128,"Ja")))</x:f>
      </x:c>
      <x:c r="H209" s="88" t="str">
        <x:f>IF(C209="","",MIN(MAX(0,D209+E209-F209-G209),MAX(0,IF(MONATSBUDGET!$C$17="",0,MONATSBUDGET!$C$17)-SUM(F200:F219)-SUM(H200:H208))))</x:f>
      </x:c>
      <x:c r="I209" s="88" t="str">
        <x:f>IF(C209="","",MAX(0,ROUND(D209+E209-F209-G209-H209,2)))</x:f>
      </x:c>
      <x:c r="J209" s="88" t="str">
        <x:f>IF(C209="","",F209+G209+H209)</x:f>
      </x:c>
      <x:c r="K209" s="88" t="str">
        <x:f>IF(C209="","",MAX(0,SUMIFS(SONDERZAHLUNGEN!$E$9:$E$128,SONDERZAHLUNGEN!$B$9:$B$128,C209,SONDERZAHLUNGEN!$C$9:$C$128,A209,SONDERZAHLUNGEN!$H$9:$H$128,"OK",SONDERZAHLUNGEN!$F$9:$F$128,"Ja")-G209))</x:f>
      </x:c>
    </x:row>
    <x:row r="210" ht="19" customHeight="1">
      <x:c r="A210" s="90" t="n">
        <x:f>MONATSBUDGET!$A$17</x:f>
        <x:v>46508</x:v>
      </x:c>
      <x:c r="B210" t="n">
        <x:f>11</x:f>
        <x:v>11</x:v>
      </x:c>
      <x:c r="C210" t="str">
        <x:f>IF($N$19="","",$N$19)</x:f>
      </x:c>
      <x:c r="D210" s="88" t="str">
        <x:f>IF(C210="","",I190)</x:f>
      </x:c>
      <x:c r="E210" s="88" t="str">
        <x:f>IF(C210="","",ROUND(D210*$P$19/12,2))</x:f>
      </x:c>
      <x:c r="F210" s="88" t="str">
        <x:f>IF(C210="","",MIN(D210+E210,$Q$19))</x:f>
      </x:c>
      <x:c r="G210" s="88" t="str">
        <x:f>IF(C210="","",MIN(MAX(0,D210+E210-F210),SUMIFS(SONDERZAHLUNGEN!$E$9:$E$128,SONDERZAHLUNGEN!$B$9:$B$128,C210,SONDERZAHLUNGEN!$C$9:$C$128,A210,SONDERZAHLUNGEN!$H$9:$H$128,"OK",SONDERZAHLUNGEN!$F$9:$F$128,"Ja")))</x:f>
      </x:c>
      <x:c r="H210" s="88" t="str">
        <x:f>IF(C210="","",MIN(MAX(0,D210+E210-F210-G210),MAX(0,IF(MONATSBUDGET!$C$17="",0,MONATSBUDGET!$C$17)-SUM(F200:F219)-SUM(H200:H209))))</x:f>
      </x:c>
      <x:c r="I210" s="88" t="str">
        <x:f>IF(C210="","",MAX(0,ROUND(D210+E210-F210-G210-H210,2)))</x:f>
      </x:c>
      <x:c r="J210" s="88" t="str">
        <x:f>IF(C210="","",F210+G210+H210)</x:f>
      </x:c>
      <x:c r="K210" s="88" t="str">
        <x:f>IF(C210="","",MAX(0,SUMIFS(SONDERZAHLUNGEN!$E$9:$E$128,SONDERZAHLUNGEN!$B$9:$B$128,C210,SONDERZAHLUNGEN!$C$9:$C$128,A210,SONDERZAHLUNGEN!$H$9:$H$128,"OK",SONDERZAHLUNGEN!$F$9:$F$128,"Ja")-G210))</x:f>
      </x:c>
    </x:row>
    <x:row r="211" ht="19" customHeight="1">
      <x:c r="A211" s="90" t="n">
        <x:f>MONATSBUDGET!$A$17</x:f>
        <x:v>46508</x:v>
      </x:c>
      <x:c r="B211" t="n">
        <x:f>12</x:f>
        <x:v>12</x:v>
      </x:c>
      <x:c r="C211" t="str">
        <x:f>IF($N$20="","",$N$20)</x:f>
      </x:c>
      <x:c r="D211" s="88" t="str">
        <x:f>IF(C211="","",I191)</x:f>
      </x:c>
      <x:c r="E211" s="88" t="str">
        <x:f>IF(C211="","",ROUND(D211*$P$20/12,2))</x:f>
      </x:c>
      <x:c r="F211" s="88" t="str">
        <x:f>IF(C211="","",MIN(D211+E211,$Q$20))</x:f>
      </x:c>
      <x:c r="G211" s="88" t="str">
        <x:f>IF(C211="","",MIN(MAX(0,D211+E211-F211),SUMIFS(SONDERZAHLUNGEN!$E$9:$E$128,SONDERZAHLUNGEN!$B$9:$B$128,C211,SONDERZAHLUNGEN!$C$9:$C$128,A211,SONDERZAHLUNGEN!$H$9:$H$128,"OK",SONDERZAHLUNGEN!$F$9:$F$128,"Ja")))</x:f>
      </x:c>
      <x:c r="H211" s="88" t="str">
        <x:f>IF(C211="","",MIN(MAX(0,D211+E211-F211-G211),MAX(0,IF(MONATSBUDGET!$C$17="",0,MONATSBUDGET!$C$17)-SUM(F200:F219)-SUM(H200:H210))))</x:f>
      </x:c>
      <x:c r="I211" s="88" t="str">
        <x:f>IF(C211="","",MAX(0,ROUND(D211+E211-F211-G211-H211,2)))</x:f>
      </x:c>
      <x:c r="J211" s="88" t="str">
        <x:f>IF(C211="","",F211+G211+H211)</x:f>
      </x:c>
      <x:c r="K211" s="88" t="str">
        <x:f>IF(C211="","",MAX(0,SUMIFS(SONDERZAHLUNGEN!$E$9:$E$128,SONDERZAHLUNGEN!$B$9:$B$128,C211,SONDERZAHLUNGEN!$C$9:$C$128,A211,SONDERZAHLUNGEN!$H$9:$H$128,"OK",SONDERZAHLUNGEN!$F$9:$F$128,"Ja")-G211))</x:f>
      </x:c>
    </x:row>
    <x:row r="212" ht="19" customHeight="1">
      <x:c r="A212" s="90" t="n">
        <x:f>MONATSBUDGET!$A$17</x:f>
        <x:v>46508</x:v>
      </x:c>
      <x:c r="B212" t="n">
        <x:f>13</x:f>
        <x:v>13</x:v>
      </x:c>
      <x:c r="C212" t="str">
        <x:f>IF($N$21="","",$N$21)</x:f>
      </x:c>
      <x:c r="D212" s="88" t="str">
        <x:f>IF(C212="","",I192)</x:f>
      </x:c>
      <x:c r="E212" s="88" t="str">
        <x:f>IF(C212="","",ROUND(D212*$P$21/12,2))</x:f>
      </x:c>
      <x:c r="F212" s="88" t="str">
        <x:f>IF(C212="","",MIN(D212+E212,$Q$21))</x:f>
      </x:c>
      <x:c r="G212" s="88" t="str">
        <x:f>IF(C212="","",MIN(MAX(0,D212+E212-F212),SUMIFS(SONDERZAHLUNGEN!$E$9:$E$128,SONDERZAHLUNGEN!$B$9:$B$128,C212,SONDERZAHLUNGEN!$C$9:$C$128,A212,SONDERZAHLUNGEN!$H$9:$H$128,"OK",SONDERZAHLUNGEN!$F$9:$F$128,"Ja")))</x:f>
      </x:c>
      <x:c r="H212" s="88" t="str">
        <x:f>IF(C212="","",MIN(MAX(0,D212+E212-F212-G212),MAX(0,IF(MONATSBUDGET!$C$17="",0,MONATSBUDGET!$C$17)-SUM(F200:F219)-SUM(H200:H211))))</x:f>
      </x:c>
      <x:c r="I212" s="88" t="str">
        <x:f>IF(C212="","",MAX(0,ROUND(D212+E212-F212-G212-H212,2)))</x:f>
      </x:c>
      <x:c r="J212" s="88" t="str">
        <x:f>IF(C212="","",F212+G212+H212)</x:f>
      </x:c>
      <x:c r="K212" s="88" t="str">
        <x:f>IF(C212="","",MAX(0,SUMIFS(SONDERZAHLUNGEN!$E$9:$E$128,SONDERZAHLUNGEN!$B$9:$B$128,C212,SONDERZAHLUNGEN!$C$9:$C$128,A212,SONDERZAHLUNGEN!$H$9:$H$128,"OK",SONDERZAHLUNGEN!$F$9:$F$128,"Ja")-G212))</x:f>
      </x:c>
    </x:row>
    <x:row r="213" ht="19" customHeight="1">
      <x:c r="A213" s="90" t="n">
        <x:f>MONATSBUDGET!$A$17</x:f>
        <x:v>46508</x:v>
      </x:c>
      <x:c r="B213" t="n">
        <x:f>14</x:f>
        <x:v>14</x:v>
      </x:c>
      <x:c r="C213" t="str">
        <x:f>IF($N$22="","",$N$22)</x:f>
      </x:c>
      <x:c r="D213" s="88" t="str">
        <x:f>IF(C213="","",I193)</x:f>
      </x:c>
      <x:c r="E213" s="88" t="str">
        <x:f>IF(C213="","",ROUND(D213*$P$22/12,2))</x:f>
      </x:c>
      <x:c r="F213" s="88" t="str">
        <x:f>IF(C213="","",MIN(D213+E213,$Q$22))</x:f>
      </x:c>
      <x:c r="G213" s="88" t="str">
        <x:f>IF(C213="","",MIN(MAX(0,D213+E213-F213),SUMIFS(SONDERZAHLUNGEN!$E$9:$E$128,SONDERZAHLUNGEN!$B$9:$B$128,C213,SONDERZAHLUNGEN!$C$9:$C$128,A213,SONDERZAHLUNGEN!$H$9:$H$128,"OK",SONDERZAHLUNGEN!$F$9:$F$128,"Ja")))</x:f>
      </x:c>
      <x:c r="H213" s="88" t="str">
        <x:f>IF(C213="","",MIN(MAX(0,D213+E213-F213-G213),MAX(0,IF(MONATSBUDGET!$C$17="",0,MONATSBUDGET!$C$17)-SUM(F200:F219)-SUM(H200:H212))))</x:f>
      </x:c>
      <x:c r="I213" s="88" t="str">
        <x:f>IF(C213="","",MAX(0,ROUND(D213+E213-F213-G213-H213,2)))</x:f>
      </x:c>
      <x:c r="J213" s="88" t="str">
        <x:f>IF(C213="","",F213+G213+H213)</x:f>
      </x:c>
      <x:c r="K213" s="88" t="str">
        <x:f>IF(C213="","",MAX(0,SUMIFS(SONDERZAHLUNGEN!$E$9:$E$128,SONDERZAHLUNGEN!$B$9:$B$128,C213,SONDERZAHLUNGEN!$C$9:$C$128,A213,SONDERZAHLUNGEN!$H$9:$H$128,"OK",SONDERZAHLUNGEN!$F$9:$F$128,"Ja")-G213))</x:f>
      </x:c>
    </x:row>
    <x:row r="214" ht="19" customHeight="1">
      <x:c r="A214" s="90" t="n">
        <x:f>MONATSBUDGET!$A$17</x:f>
        <x:v>46508</x:v>
      </x:c>
      <x:c r="B214" t="n">
        <x:f>15</x:f>
        <x:v>15</x:v>
      </x:c>
      <x:c r="C214" t="str">
        <x:f>IF($N$23="","",$N$23)</x:f>
      </x:c>
      <x:c r="D214" s="88" t="str">
        <x:f>IF(C214="","",I194)</x:f>
      </x:c>
      <x:c r="E214" s="88" t="str">
        <x:f>IF(C214="","",ROUND(D214*$P$23/12,2))</x:f>
      </x:c>
      <x:c r="F214" s="88" t="str">
        <x:f>IF(C214="","",MIN(D214+E214,$Q$23))</x:f>
      </x:c>
      <x:c r="G214" s="88" t="str">
        <x:f>IF(C214="","",MIN(MAX(0,D214+E214-F214),SUMIFS(SONDERZAHLUNGEN!$E$9:$E$128,SONDERZAHLUNGEN!$B$9:$B$128,C214,SONDERZAHLUNGEN!$C$9:$C$128,A214,SONDERZAHLUNGEN!$H$9:$H$128,"OK",SONDERZAHLUNGEN!$F$9:$F$128,"Ja")))</x:f>
      </x:c>
      <x:c r="H214" s="88" t="str">
        <x:f>IF(C214="","",MIN(MAX(0,D214+E214-F214-G214),MAX(0,IF(MONATSBUDGET!$C$17="",0,MONATSBUDGET!$C$17)-SUM(F200:F219)-SUM(H200:H213))))</x:f>
      </x:c>
      <x:c r="I214" s="88" t="str">
        <x:f>IF(C214="","",MAX(0,ROUND(D214+E214-F214-G214-H214,2)))</x:f>
      </x:c>
      <x:c r="J214" s="88" t="str">
        <x:f>IF(C214="","",F214+G214+H214)</x:f>
      </x:c>
      <x:c r="K214" s="88" t="str">
        <x:f>IF(C214="","",MAX(0,SUMIFS(SONDERZAHLUNGEN!$E$9:$E$128,SONDERZAHLUNGEN!$B$9:$B$128,C214,SONDERZAHLUNGEN!$C$9:$C$128,A214,SONDERZAHLUNGEN!$H$9:$H$128,"OK",SONDERZAHLUNGEN!$F$9:$F$128,"Ja")-G214))</x:f>
      </x:c>
    </x:row>
    <x:row r="215" ht="19" customHeight="1">
      <x:c r="A215" s="90" t="n">
        <x:f>MONATSBUDGET!$A$17</x:f>
        <x:v>46508</x:v>
      </x:c>
      <x:c r="B215" t="n">
        <x:f>16</x:f>
        <x:v>16</x:v>
      </x:c>
      <x:c r="C215" t="str">
        <x:f>IF($N$24="","",$N$24)</x:f>
      </x:c>
      <x:c r="D215" s="88" t="str">
        <x:f>IF(C215="","",I195)</x:f>
      </x:c>
      <x:c r="E215" s="88" t="str">
        <x:f>IF(C215="","",ROUND(D215*$P$24/12,2))</x:f>
      </x:c>
      <x:c r="F215" s="88" t="str">
        <x:f>IF(C215="","",MIN(D215+E215,$Q$24))</x:f>
      </x:c>
      <x:c r="G215" s="88" t="str">
        <x:f>IF(C215="","",MIN(MAX(0,D215+E215-F215),SUMIFS(SONDERZAHLUNGEN!$E$9:$E$128,SONDERZAHLUNGEN!$B$9:$B$128,C215,SONDERZAHLUNGEN!$C$9:$C$128,A215,SONDERZAHLUNGEN!$H$9:$H$128,"OK",SONDERZAHLUNGEN!$F$9:$F$128,"Ja")))</x:f>
      </x:c>
      <x:c r="H215" s="88" t="str">
        <x:f>IF(C215="","",MIN(MAX(0,D215+E215-F215-G215),MAX(0,IF(MONATSBUDGET!$C$17="",0,MONATSBUDGET!$C$17)-SUM(F200:F219)-SUM(H200:H214))))</x:f>
      </x:c>
      <x:c r="I215" s="88" t="str">
        <x:f>IF(C215="","",MAX(0,ROUND(D215+E215-F215-G215-H215,2)))</x:f>
      </x:c>
      <x:c r="J215" s="88" t="str">
        <x:f>IF(C215="","",F215+G215+H215)</x:f>
      </x:c>
      <x:c r="K215" s="88" t="str">
        <x:f>IF(C215="","",MAX(0,SUMIFS(SONDERZAHLUNGEN!$E$9:$E$128,SONDERZAHLUNGEN!$B$9:$B$128,C215,SONDERZAHLUNGEN!$C$9:$C$128,A215,SONDERZAHLUNGEN!$H$9:$H$128,"OK",SONDERZAHLUNGEN!$F$9:$F$128,"Ja")-G215))</x:f>
      </x:c>
    </x:row>
    <x:row r="216" ht="19" customHeight="1">
      <x:c r="A216" s="90" t="n">
        <x:f>MONATSBUDGET!$A$17</x:f>
        <x:v>46508</x:v>
      </x:c>
      <x:c r="B216" t="n">
        <x:f>17</x:f>
        <x:v>17</x:v>
      </x:c>
      <x:c r="C216" t="str">
        <x:f>IF($N$25="","",$N$25)</x:f>
      </x:c>
      <x:c r="D216" s="88" t="str">
        <x:f>IF(C216="","",I196)</x:f>
      </x:c>
      <x:c r="E216" s="88" t="str">
        <x:f>IF(C216="","",ROUND(D216*$P$25/12,2))</x:f>
      </x:c>
      <x:c r="F216" s="88" t="str">
        <x:f>IF(C216="","",MIN(D216+E216,$Q$25))</x:f>
      </x:c>
      <x:c r="G216" s="88" t="str">
        <x:f>IF(C216="","",MIN(MAX(0,D216+E216-F216),SUMIFS(SONDERZAHLUNGEN!$E$9:$E$128,SONDERZAHLUNGEN!$B$9:$B$128,C216,SONDERZAHLUNGEN!$C$9:$C$128,A216,SONDERZAHLUNGEN!$H$9:$H$128,"OK",SONDERZAHLUNGEN!$F$9:$F$128,"Ja")))</x:f>
      </x:c>
      <x:c r="H216" s="88" t="str">
        <x:f>IF(C216="","",MIN(MAX(0,D216+E216-F216-G216),MAX(0,IF(MONATSBUDGET!$C$17="",0,MONATSBUDGET!$C$17)-SUM(F200:F219)-SUM(H200:H215))))</x:f>
      </x:c>
      <x:c r="I216" s="88" t="str">
        <x:f>IF(C216="","",MAX(0,ROUND(D216+E216-F216-G216-H216,2)))</x:f>
      </x:c>
      <x:c r="J216" s="88" t="str">
        <x:f>IF(C216="","",F216+G216+H216)</x:f>
      </x:c>
      <x:c r="K216" s="88" t="str">
        <x:f>IF(C216="","",MAX(0,SUMIFS(SONDERZAHLUNGEN!$E$9:$E$128,SONDERZAHLUNGEN!$B$9:$B$128,C216,SONDERZAHLUNGEN!$C$9:$C$128,A216,SONDERZAHLUNGEN!$H$9:$H$128,"OK",SONDERZAHLUNGEN!$F$9:$F$128,"Ja")-G216))</x:f>
      </x:c>
    </x:row>
    <x:row r="217" ht="19" customHeight="1">
      <x:c r="A217" s="90" t="n">
        <x:f>MONATSBUDGET!$A$17</x:f>
        <x:v>46508</x:v>
      </x:c>
      <x:c r="B217" t="n">
        <x:f>18</x:f>
        <x:v>18</x:v>
      </x:c>
      <x:c r="C217" t="str">
        <x:f>IF($N$26="","",$N$26)</x:f>
      </x:c>
      <x:c r="D217" s="88" t="str">
        <x:f>IF(C217="","",I197)</x:f>
      </x:c>
      <x:c r="E217" s="88" t="str">
        <x:f>IF(C217="","",ROUND(D217*$P$26/12,2))</x:f>
      </x:c>
      <x:c r="F217" s="88" t="str">
        <x:f>IF(C217="","",MIN(D217+E217,$Q$26))</x:f>
      </x:c>
      <x:c r="G217" s="88" t="str">
        <x:f>IF(C217="","",MIN(MAX(0,D217+E217-F217),SUMIFS(SONDERZAHLUNGEN!$E$9:$E$128,SONDERZAHLUNGEN!$B$9:$B$128,C217,SONDERZAHLUNGEN!$C$9:$C$128,A217,SONDERZAHLUNGEN!$H$9:$H$128,"OK",SONDERZAHLUNGEN!$F$9:$F$128,"Ja")))</x:f>
      </x:c>
      <x:c r="H217" s="88" t="str">
        <x:f>IF(C217="","",MIN(MAX(0,D217+E217-F217-G217),MAX(0,IF(MONATSBUDGET!$C$17="",0,MONATSBUDGET!$C$17)-SUM(F200:F219)-SUM(H200:H216))))</x:f>
      </x:c>
      <x:c r="I217" s="88" t="str">
        <x:f>IF(C217="","",MAX(0,ROUND(D217+E217-F217-G217-H217,2)))</x:f>
      </x:c>
      <x:c r="J217" s="88" t="str">
        <x:f>IF(C217="","",F217+G217+H217)</x:f>
      </x:c>
      <x:c r="K217" s="88" t="str">
        <x:f>IF(C217="","",MAX(0,SUMIFS(SONDERZAHLUNGEN!$E$9:$E$128,SONDERZAHLUNGEN!$B$9:$B$128,C217,SONDERZAHLUNGEN!$C$9:$C$128,A217,SONDERZAHLUNGEN!$H$9:$H$128,"OK",SONDERZAHLUNGEN!$F$9:$F$128,"Ja")-G217))</x:f>
      </x:c>
    </x:row>
    <x:row r="218" ht="19" customHeight="1">
      <x:c r="A218" s="90" t="n">
        <x:f>MONATSBUDGET!$A$17</x:f>
        <x:v>46508</x:v>
      </x:c>
      <x:c r="B218" t="n">
        <x:f>19</x:f>
        <x:v>19</x:v>
      </x:c>
      <x:c r="C218" t="str">
        <x:f>IF($N$27="","",$N$27)</x:f>
      </x:c>
      <x:c r="D218" s="88" t="str">
        <x:f>IF(C218="","",I198)</x:f>
      </x:c>
      <x:c r="E218" s="88" t="str">
        <x:f>IF(C218="","",ROUND(D218*$P$27/12,2))</x:f>
      </x:c>
      <x:c r="F218" s="88" t="str">
        <x:f>IF(C218="","",MIN(D218+E218,$Q$27))</x:f>
      </x:c>
      <x:c r="G218" s="88" t="str">
        <x:f>IF(C218="","",MIN(MAX(0,D218+E218-F218),SUMIFS(SONDERZAHLUNGEN!$E$9:$E$128,SONDERZAHLUNGEN!$B$9:$B$128,C218,SONDERZAHLUNGEN!$C$9:$C$128,A218,SONDERZAHLUNGEN!$H$9:$H$128,"OK",SONDERZAHLUNGEN!$F$9:$F$128,"Ja")))</x:f>
      </x:c>
      <x:c r="H218" s="88" t="str">
        <x:f>IF(C218="","",MIN(MAX(0,D218+E218-F218-G218),MAX(0,IF(MONATSBUDGET!$C$17="",0,MONATSBUDGET!$C$17)-SUM(F200:F219)-SUM(H200:H217))))</x:f>
      </x:c>
      <x:c r="I218" s="88" t="str">
        <x:f>IF(C218="","",MAX(0,ROUND(D218+E218-F218-G218-H218,2)))</x:f>
      </x:c>
      <x:c r="J218" s="88" t="str">
        <x:f>IF(C218="","",F218+G218+H218)</x:f>
      </x:c>
      <x:c r="K218" s="88" t="str">
        <x:f>IF(C218="","",MAX(0,SUMIFS(SONDERZAHLUNGEN!$E$9:$E$128,SONDERZAHLUNGEN!$B$9:$B$128,C218,SONDERZAHLUNGEN!$C$9:$C$128,A218,SONDERZAHLUNGEN!$H$9:$H$128,"OK",SONDERZAHLUNGEN!$F$9:$F$128,"Ja")-G218))</x:f>
      </x:c>
    </x:row>
    <x:row r="219" ht="19" customHeight="1">
      <x:c r="A219" s="90" t="n">
        <x:f>MONATSBUDGET!$A$17</x:f>
        <x:v>46508</x:v>
      </x:c>
      <x:c r="B219" t="n">
        <x:f>20</x:f>
        <x:v>20</x:v>
      </x:c>
      <x:c r="C219" t="str">
        <x:f>IF($N$28="","",$N$28)</x:f>
      </x:c>
      <x:c r="D219" s="88" t="str">
        <x:f>IF(C219="","",I199)</x:f>
      </x:c>
      <x:c r="E219" s="88" t="str">
        <x:f>IF(C219="","",ROUND(D219*$P$28/12,2))</x:f>
      </x:c>
      <x:c r="F219" s="88" t="str">
        <x:f>IF(C219="","",MIN(D219+E219,$Q$28))</x:f>
      </x:c>
      <x:c r="G219" s="88" t="str">
        <x:f>IF(C219="","",MIN(MAX(0,D219+E219-F219),SUMIFS(SONDERZAHLUNGEN!$E$9:$E$128,SONDERZAHLUNGEN!$B$9:$B$128,C219,SONDERZAHLUNGEN!$C$9:$C$128,A219,SONDERZAHLUNGEN!$H$9:$H$128,"OK",SONDERZAHLUNGEN!$F$9:$F$128,"Ja")))</x:f>
      </x:c>
      <x:c r="H219" s="88" t="str">
        <x:f>IF(C219="","",MIN(MAX(0,D219+E219-F219-G219),MAX(0,IF(MONATSBUDGET!$C$17="",0,MONATSBUDGET!$C$17)-SUM(F200:F219)-SUM(H200:H218))))</x:f>
      </x:c>
      <x:c r="I219" s="88" t="str">
        <x:f>IF(C219="","",MAX(0,ROUND(D219+E219-F219-G219-H219,2)))</x:f>
      </x:c>
      <x:c r="J219" s="88" t="str">
        <x:f>IF(C219="","",F219+G219+H219)</x:f>
      </x:c>
      <x:c r="K219" s="88" t="str">
        <x:f>IF(C219="","",MAX(0,SUMIFS(SONDERZAHLUNGEN!$E$9:$E$128,SONDERZAHLUNGEN!$B$9:$B$128,C219,SONDERZAHLUNGEN!$C$9:$C$128,A219,SONDERZAHLUNGEN!$H$9:$H$128,"OK",SONDERZAHLUNGEN!$F$9:$F$128,"Ja")-G219))</x:f>
      </x:c>
    </x:row>
    <x:row r="220" ht="19" customHeight="1">
      <x:c r="A220" s="90" t="n">
        <x:f>MONATSBUDGET!$A$18</x:f>
        <x:v>46539</x:v>
      </x:c>
      <x:c r="B220" t="n">
        <x:f>1</x:f>
        <x:v>1</x:v>
      </x:c>
      <x:c r="C220" t="str">
        <x:f>IF($N$9="","",$N$9)</x:f>
      </x:c>
      <x:c r="D220" s="88" t="str">
        <x:f>IF(C220="","",I200)</x:f>
      </x:c>
      <x:c r="E220" s="88" t="str">
        <x:f>IF(C220="","",ROUND(D220*$P$9/12,2))</x:f>
      </x:c>
      <x:c r="F220" s="88" t="str">
        <x:f>IF(C220="","",MIN(D220+E220,$Q$9))</x:f>
      </x:c>
      <x:c r="G220" s="88" t="str">
        <x:f>IF(C220="","",MIN(MAX(0,D220+E220-F220),SUMIFS(SONDERZAHLUNGEN!$E$9:$E$128,SONDERZAHLUNGEN!$B$9:$B$128,C220,SONDERZAHLUNGEN!$C$9:$C$128,A220,SONDERZAHLUNGEN!$H$9:$H$128,"OK",SONDERZAHLUNGEN!$F$9:$F$128,"Ja")))</x:f>
      </x:c>
      <x:c r="H220" s="88" t="str">
        <x:f>IF(C220="","",MIN(MAX(0,D220+E220-F220-G220),MAX(0,IF(MONATSBUDGET!$C$18="",0,MONATSBUDGET!$C$18)-SUM(F220:F239)-0)))</x:f>
      </x:c>
      <x:c r="I220" s="88" t="str">
        <x:f>IF(C220="","",MAX(0,ROUND(D220+E220-F220-G220-H220,2)))</x:f>
      </x:c>
      <x:c r="J220" s="88" t="str">
        <x:f>IF(C220="","",F220+G220+H220)</x:f>
      </x:c>
      <x:c r="K220" s="88" t="str">
        <x:f>IF(C220="","",MAX(0,SUMIFS(SONDERZAHLUNGEN!$E$9:$E$128,SONDERZAHLUNGEN!$B$9:$B$128,C220,SONDERZAHLUNGEN!$C$9:$C$128,A220,SONDERZAHLUNGEN!$H$9:$H$128,"OK",SONDERZAHLUNGEN!$F$9:$F$128,"Ja")-G220))</x:f>
      </x:c>
    </x:row>
    <x:row r="221" ht="19" customHeight="1">
      <x:c r="A221" s="90" t="n">
        <x:f>MONATSBUDGET!$A$18</x:f>
        <x:v>46539</x:v>
      </x:c>
      <x:c r="B221" t="n">
        <x:f>2</x:f>
        <x:v>2</x:v>
      </x:c>
      <x:c r="C221" t="str">
        <x:f>IF($N$10="","",$N$10)</x:f>
      </x:c>
      <x:c r="D221" s="88" t="str">
        <x:f>IF(C221="","",I201)</x:f>
      </x:c>
      <x:c r="E221" s="88" t="str">
        <x:f>IF(C221="","",ROUND(D221*$P$10/12,2))</x:f>
      </x:c>
      <x:c r="F221" s="88" t="str">
        <x:f>IF(C221="","",MIN(D221+E221,$Q$10))</x:f>
      </x:c>
      <x:c r="G221" s="88" t="str">
        <x:f>IF(C221="","",MIN(MAX(0,D221+E221-F221),SUMIFS(SONDERZAHLUNGEN!$E$9:$E$128,SONDERZAHLUNGEN!$B$9:$B$128,C221,SONDERZAHLUNGEN!$C$9:$C$128,A221,SONDERZAHLUNGEN!$H$9:$H$128,"OK",SONDERZAHLUNGEN!$F$9:$F$128,"Ja")))</x:f>
      </x:c>
      <x:c r="H221" s="88" t="str">
        <x:f>IF(C221="","",MIN(MAX(0,D221+E221-F221-G221),MAX(0,IF(MONATSBUDGET!$C$18="",0,MONATSBUDGET!$C$18)-SUM(F220:F239)-SUM(H220:H220))))</x:f>
      </x:c>
      <x:c r="I221" s="88" t="str">
        <x:f>IF(C221="","",MAX(0,ROUND(D221+E221-F221-G221-H221,2)))</x:f>
      </x:c>
      <x:c r="J221" s="88" t="str">
        <x:f>IF(C221="","",F221+G221+H221)</x:f>
      </x:c>
      <x:c r="K221" s="88" t="str">
        <x:f>IF(C221="","",MAX(0,SUMIFS(SONDERZAHLUNGEN!$E$9:$E$128,SONDERZAHLUNGEN!$B$9:$B$128,C221,SONDERZAHLUNGEN!$C$9:$C$128,A221,SONDERZAHLUNGEN!$H$9:$H$128,"OK",SONDERZAHLUNGEN!$F$9:$F$128,"Ja")-G221))</x:f>
      </x:c>
    </x:row>
    <x:row r="222" ht="19" customHeight="1">
      <x:c r="A222" s="90" t="n">
        <x:f>MONATSBUDGET!$A$18</x:f>
        <x:v>46539</x:v>
      </x:c>
      <x:c r="B222" t="n">
        <x:f>3</x:f>
        <x:v>3</x:v>
      </x:c>
      <x:c r="C222" t="str">
        <x:f>IF($N$11="","",$N$11)</x:f>
      </x:c>
      <x:c r="D222" s="88" t="str">
        <x:f>IF(C222="","",I202)</x:f>
      </x:c>
      <x:c r="E222" s="88" t="str">
        <x:f>IF(C222="","",ROUND(D222*$P$11/12,2))</x:f>
      </x:c>
      <x:c r="F222" s="88" t="str">
        <x:f>IF(C222="","",MIN(D222+E222,$Q$11))</x:f>
      </x:c>
      <x:c r="G222" s="88" t="str">
        <x:f>IF(C222="","",MIN(MAX(0,D222+E222-F222),SUMIFS(SONDERZAHLUNGEN!$E$9:$E$128,SONDERZAHLUNGEN!$B$9:$B$128,C222,SONDERZAHLUNGEN!$C$9:$C$128,A222,SONDERZAHLUNGEN!$H$9:$H$128,"OK",SONDERZAHLUNGEN!$F$9:$F$128,"Ja")))</x:f>
      </x:c>
      <x:c r="H222" s="88" t="str">
        <x:f>IF(C222="","",MIN(MAX(0,D222+E222-F222-G222),MAX(0,IF(MONATSBUDGET!$C$18="",0,MONATSBUDGET!$C$18)-SUM(F220:F239)-SUM(H220:H221))))</x:f>
      </x:c>
      <x:c r="I222" s="88" t="str">
        <x:f>IF(C222="","",MAX(0,ROUND(D222+E222-F222-G222-H222,2)))</x:f>
      </x:c>
      <x:c r="J222" s="88" t="str">
        <x:f>IF(C222="","",F222+G222+H222)</x:f>
      </x:c>
      <x:c r="K222" s="88" t="str">
        <x:f>IF(C222="","",MAX(0,SUMIFS(SONDERZAHLUNGEN!$E$9:$E$128,SONDERZAHLUNGEN!$B$9:$B$128,C222,SONDERZAHLUNGEN!$C$9:$C$128,A222,SONDERZAHLUNGEN!$H$9:$H$128,"OK",SONDERZAHLUNGEN!$F$9:$F$128,"Ja")-G222))</x:f>
      </x:c>
    </x:row>
    <x:row r="223" ht="19" customHeight="1">
      <x:c r="A223" s="90" t="n">
        <x:f>MONATSBUDGET!$A$18</x:f>
        <x:v>46539</x:v>
      </x:c>
      <x:c r="B223" t="n">
        <x:f>4</x:f>
        <x:v>4</x:v>
      </x:c>
      <x:c r="C223" t="str">
        <x:f>IF($N$12="","",$N$12)</x:f>
      </x:c>
      <x:c r="D223" s="88" t="str">
        <x:f>IF(C223="","",I203)</x:f>
      </x:c>
      <x:c r="E223" s="88" t="str">
        <x:f>IF(C223="","",ROUND(D223*$P$12/12,2))</x:f>
      </x:c>
      <x:c r="F223" s="88" t="str">
        <x:f>IF(C223="","",MIN(D223+E223,$Q$12))</x:f>
      </x:c>
      <x:c r="G223" s="88" t="str">
        <x:f>IF(C223="","",MIN(MAX(0,D223+E223-F223),SUMIFS(SONDERZAHLUNGEN!$E$9:$E$128,SONDERZAHLUNGEN!$B$9:$B$128,C223,SONDERZAHLUNGEN!$C$9:$C$128,A223,SONDERZAHLUNGEN!$H$9:$H$128,"OK",SONDERZAHLUNGEN!$F$9:$F$128,"Ja")))</x:f>
      </x:c>
      <x:c r="H223" s="88" t="str">
        <x:f>IF(C223="","",MIN(MAX(0,D223+E223-F223-G223),MAX(0,IF(MONATSBUDGET!$C$18="",0,MONATSBUDGET!$C$18)-SUM(F220:F239)-SUM(H220:H222))))</x:f>
      </x:c>
      <x:c r="I223" s="88" t="str">
        <x:f>IF(C223="","",MAX(0,ROUND(D223+E223-F223-G223-H223,2)))</x:f>
      </x:c>
      <x:c r="J223" s="88" t="str">
        <x:f>IF(C223="","",F223+G223+H223)</x:f>
      </x:c>
      <x:c r="K223" s="88" t="str">
        <x:f>IF(C223="","",MAX(0,SUMIFS(SONDERZAHLUNGEN!$E$9:$E$128,SONDERZAHLUNGEN!$B$9:$B$128,C223,SONDERZAHLUNGEN!$C$9:$C$128,A223,SONDERZAHLUNGEN!$H$9:$H$128,"OK",SONDERZAHLUNGEN!$F$9:$F$128,"Ja")-G223))</x:f>
      </x:c>
    </x:row>
    <x:row r="224" ht="19" customHeight="1">
      <x:c r="A224" s="90" t="n">
        <x:f>MONATSBUDGET!$A$18</x:f>
        <x:v>46539</x:v>
      </x:c>
      <x:c r="B224" t="n">
        <x:f>5</x:f>
        <x:v>5</x:v>
      </x:c>
      <x:c r="C224" t="str">
        <x:f>IF($N$13="","",$N$13)</x:f>
      </x:c>
      <x:c r="D224" s="88" t="str">
        <x:f>IF(C224="","",I204)</x:f>
      </x:c>
      <x:c r="E224" s="88" t="str">
        <x:f>IF(C224="","",ROUND(D224*$P$13/12,2))</x:f>
      </x:c>
      <x:c r="F224" s="88" t="str">
        <x:f>IF(C224="","",MIN(D224+E224,$Q$13))</x:f>
      </x:c>
      <x:c r="G224" s="88" t="str">
        <x:f>IF(C224="","",MIN(MAX(0,D224+E224-F224),SUMIFS(SONDERZAHLUNGEN!$E$9:$E$128,SONDERZAHLUNGEN!$B$9:$B$128,C224,SONDERZAHLUNGEN!$C$9:$C$128,A224,SONDERZAHLUNGEN!$H$9:$H$128,"OK",SONDERZAHLUNGEN!$F$9:$F$128,"Ja")))</x:f>
      </x:c>
      <x:c r="H224" s="88" t="str">
        <x:f>IF(C224="","",MIN(MAX(0,D224+E224-F224-G224),MAX(0,IF(MONATSBUDGET!$C$18="",0,MONATSBUDGET!$C$18)-SUM(F220:F239)-SUM(H220:H223))))</x:f>
      </x:c>
      <x:c r="I224" s="88" t="str">
        <x:f>IF(C224="","",MAX(0,ROUND(D224+E224-F224-G224-H224,2)))</x:f>
      </x:c>
      <x:c r="J224" s="88" t="str">
        <x:f>IF(C224="","",F224+G224+H224)</x:f>
      </x:c>
      <x:c r="K224" s="88" t="str">
        <x:f>IF(C224="","",MAX(0,SUMIFS(SONDERZAHLUNGEN!$E$9:$E$128,SONDERZAHLUNGEN!$B$9:$B$128,C224,SONDERZAHLUNGEN!$C$9:$C$128,A224,SONDERZAHLUNGEN!$H$9:$H$128,"OK",SONDERZAHLUNGEN!$F$9:$F$128,"Ja")-G224))</x:f>
      </x:c>
    </x:row>
    <x:row r="225" ht="19" customHeight="1">
      <x:c r="A225" s="90" t="n">
        <x:f>MONATSBUDGET!$A$18</x:f>
        <x:v>46539</x:v>
      </x:c>
      <x:c r="B225" t="n">
        <x:f>6</x:f>
        <x:v>6</x:v>
      </x:c>
      <x:c r="C225" t="str">
        <x:f>IF($N$14="","",$N$14)</x:f>
      </x:c>
      <x:c r="D225" s="88" t="str">
        <x:f>IF(C225="","",I205)</x:f>
      </x:c>
      <x:c r="E225" s="88" t="str">
        <x:f>IF(C225="","",ROUND(D225*$P$14/12,2))</x:f>
      </x:c>
      <x:c r="F225" s="88" t="str">
        <x:f>IF(C225="","",MIN(D225+E225,$Q$14))</x:f>
      </x:c>
      <x:c r="G225" s="88" t="str">
        <x:f>IF(C225="","",MIN(MAX(0,D225+E225-F225),SUMIFS(SONDERZAHLUNGEN!$E$9:$E$128,SONDERZAHLUNGEN!$B$9:$B$128,C225,SONDERZAHLUNGEN!$C$9:$C$128,A225,SONDERZAHLUNGEN!$H$9:$H$128,"OK",SONDERZAHLUNGEN!$F$9:$F$128,"Ja")))</x:f>
      </x:c>
      <x:c r="H225" s="88" t="str">
        <x:f>IF(C225="","",MIN(MAX(0,D225+E225-F225-G225),MAX(0,IF(MONATSBUDGET!$C$18="",0,MONATSBUDGET!$C$18)-SUM(F220:F239)-SUM(H220:H224))))</x:f>
      </x:c>
      <x:c r="I225" s="88" t="str">
        <x:f>IF(C225="","",MAX(0,ROUND(D225+E225-F225-G225-H225,2)))</x:f>
      </x:c>
      <x:c r="J225" s="88" t="str">
        <x:f>IF(C225="","",F225+G225+H225)</x:f>
      </x:c>
      <x:c r="K225" s="88" t="str">
        <x:f>IF(C225="","",MAX(0,SUMIFS(SONDERZAHLUNGEN!$E$9:$E$128,SONDERZAHLUNGEN!$B$9:$B$128,C225,SONDERZAHLUNGEN!$C$9:$C$128,A225,SONDERZAHLUNGEN!$H$9:$H$128,"OK",SONDERZAHLUNGEN!$F$9:$F$128,"Ja")-G225))</x:f>
      </x:c>
    </x:row>
    <x:row r="226" ht="19" customHeight="1">
      <x:c r="A226" s="90" t="n">
        <x:f>MONATSBUDGET!$A$18</x:f>
        <x:v>46539</x:v>
      </x:c>
      <x:c r="B226" t="n">
        <x:f>7</x:f>
        <x:v>7</x:v>
      </x:c>
      <x:c r="C226" t="str">
        <x:f>IF($N$15="","",$N$15)</x:f>
      </x:c>
      <x:c r="D226" s="88" t="str">
        <x:f>IF(C226="","",I206)</x:f>
      </x:c>
      <x:c r="E226" s="88" t="str">
        <x:f>IF(C226="","",ROUND(D226*$P$15/12,2))</x:f>
      </x:c>
      <x:c r="F226" s="88" t="str">
        <x:f>IF(C226="","",MIN(D226+E226,$Q$15))</x:f>
      </x:c>
      <x:c r="G226" s="88" t="str">
        <x:f>IF(C226="","",MIN(MAX(0,D226+E226-F226),SUMIFS(SONDERZAHLUNGEN!$E$9:$E$128,SONDERZAHLUNGEN!$B$9:$B$128,C226,SONDERZAHLUNGEN!$C$9:$C$128,A226,SONDERZAHLUNGEN!$H$9:$H$128,"OK",SONDERZAHLUNGEN!$F$9:$F$128,"Ja")))</x:f>
      </x:c>
      <x:c r="H226" s="88" t="str">
        <x:f>IF(C226="","",MIN(MAX(0,D226+E226-F226-G226),MAX(0,IF(MONATSBUDGET!$C$18="",0,MONATSBUDGET!$C$18)-SUM(F220:F239)-SUM(H220:H225))))</x:f>
      </x:c>
      <x:c r="I226" s="88" t="str">
        <x:f>IF(C226="","",MAX(0,ROUND(D226+E226-F226-G226-H226,2)))</x:f>
      </x:c>
      <x:c r="J226" s="88" t="str">
        <x:f>IF(C226="","",F226+G226+H226)</x:f>
      </x:c>
      <x:c r="K226" s="88" t="str">
        <x:f>IF(C226="","",MAX(0,SUMIFS(SONDERZAHLUNGEN!$E$9:$E$128,SONDERZAHLUNGEN!$B$9:$B$128,C226,SONDERZAHLUNGEN!$C$9:$C$128,A226,SONDERZAHLUNGEN!$H$9:$H$128,"OK",SONDERZAHLUNGEN!$F$9:$F$128,"Ja")-G226))</x:f>
      </x:c>
    </x:row>
    <x:row r="227" ht="19" customHeight="1">
      <x:c r="A227" s="90" t="n">
        <x:f>MONATSBUDGET!$A$18</x:f>
        <x:v>46539</x:v>
      </x:c>
      <x:c r="B227" t="n">
        <x:f>8</x:f>
        <x:v>8</x:v>
      </x:c>
      <x:c r="C227" t="str">
        <x:f>IF($N$16="","",$N$16)</x:f>
      </x:c>
      <x:c r="D227" s="88" t="str">
        <x:f>IF(C227="","",I207)</x:f>
      </x:c>
      <x:c r="E227" s="88" t="str">
        <x:f>IF(C227="","",ROUND(D227*$P$16/12,2))</x:f>
      </x:c>
      <x:c r="F227" s="88" t="str">
        <x:f>IF(C227="","",MIN(D227+E227,$Q$16))</x:f>
      </x:c>
      <x:c r="G227" s="88" t="str">
        <x:f>IF(C227="","",MIN(MAX(0,D227+E227-F227),SUMIFS(SONDERZAHLUNGEN!$E$9:$E$128,SONDERZAHLUNGEN!$B$9:$B$128,C227,SONDERZAHLUNGEN!$C$9:$C$128,A227,SONDERZAHLUNGEN!$H$9:$H$128,"OK",SONDERZAHLUNGEN!$F$9:$F$128,"Ja")))</x:f>
      </x:c>
      <x:c r="H227" s="88" t="str">
        <x:f>IF(C227="","",MIN(MAX(0,D227+E227-F227-G227),MAX(0,IF(MONATSBUDGET!$C$18="",0,MONATSBUDGET!$C$18)-SUM(F220:F239)-SUM(H220:H226))))</x:f>
      </x:c>
      <x:c r="I227" s="88" t="str">
        <x:f>IF(C227="","",MAX(0,ROUND(D227+E227-F227-G227-H227,2)))</x:f>
      </x:c>
      <x:c r="J227" s="88" t="str">
        <x:f>IF(C227="","",F227+G227+H227)</x:f>
      </x:c>
      <x:c r="K227" s="88" t="str">
        <x:f>IF(C227="","",MAX(0,SUMIFS(SONDERZAHLUNGEN!$E$9:$E$128,SONDERZAHLUNGEN!$B$9:$B$128,C227,SONDERZAHLUNGEN!$C$9:$C$128,A227,SONDERZAHLUNGEN!$H$9:$H$128,"OK",SONDERZAHLUNGEN!$F$9:$F$128,"Ja")-G227))</x:f>
      </x:c>
    </x:row>
    <x:row r="228" ht="19" customHeight="1">
      <x:c r="A228" s="90" t="n">
        <x:f>MONATSBUDGET!$A$18</x:f>
        <x:v>46539</x:v>
      </x:c>
      <x:c r="B228" t="n">
        <x:f>9</x:f>
        <x:v>9</x:v>
      </x:c>
      <x:c r="C228" t="str">
        <x:f>IF($N$17="","",$N$17)</x:f>
      </x:c>
      <x:c r="D228" s="88" t="str">
        <x:f>IF(C228="","",I208)</x:f>
      </x:c>
      <x:c r="E228" s="88" t="str">
        <x:f>IF(C228="","",ROUND(D228*$P$17/12,2))</x:f>
      </x:c>
      <x:c r="F228" s="88" t="str">
        <x:f>IF(C228="","",MIN(D228+E228,$Q$17))</x:f>
      </x:c>
      <x:c r="G228" s="88" t="str">
        <x:f>IF(C228="","",MIN(MAX(0,D228+E228-F228),SUMIFS(SONDERZAHLUNGEN!$E$9:$E$128,SONDERZAHLUNGEN!$B$9:$B$128,C228,SONDERZAHLUNGEN!$C$9:$C$128,A228,SONDERZAHLUNGEN!$H$9:$H$128,"OK",SONDERZAHLUNGEN!$F$9:$F$128,"Ja")))</x:f>
      </x:c>
      <x:c r="H228" s="88" t="str">
        <x:f>IF(C228="","",MIN(MAX(0,D228+E228-F228-G228),MAX(0,IF(MONATSBUDGET!$C$18="",0,MONATSBUDGET!$C$18)-SUM(F220:F239)-SUM(H220:H227))))</x:f>
      </x:c>
      <x:c r="I228" s="88" t="str">
        <x:f>IF(C228="","",MAX(0,ROUND(D228+E228-F228-G228-H228,2)))</x:f>
      </x:c>
      <x:c r="J228" s="88" t="str">
        <x:f>IF(C228="","",F228+G228+H228)</x:f>
      </x:c>
      <x:c r="K228" s="88" t="str">
        <x:f>IF(C228="","",MAX(0,SUMIFS(SONDERZAHLUNGEN!$E$9:$E$128,SONDERZAHLUNGEN!$B$9:$B$128,C228,SONDERZAHLUNGEN!$C$9:$C$128,A228,SONDERZAHLUNGEN!$H$9:$H$128,"OK",SONDERZAHLUNGEN!$F$9:$F$128,"Ja")-G228))</x:f>
      </x:c>
    </x:row>
    <x:row r="229" ht="19" customHeight="1">
      <x:c r="A229" s="90" t="n">
        <x:f>MONATSBUDGET!$A$18</x:f>
        <x:v>46539</x:v>
      </x:c>
      <x:c r="B229" t="n">
        <x:f>10</x:f>
        <x:v>10</x:v>
      </x:c>
      <x:c r="C229" t="str">
        <x:f>IF($N$18="","",$N$18)</x:f>
      </x:c>
      <x:c r="D229" s="88" t="str">
        <x:f>IF(C229="","",I209)</x:f>
      </x:c>
      <x:c r="E229" s="88" t="str">
        <x:f>IF(C229="","",ROUND(D229*$P$18/12,2))</x:f>
      </x:c>
      <x:c r="F229" s="88" t="str">
        <x:f>IF(C229="","",MIN(D229+E229,$Q$18))</x:f>
      </x:c>
      <x:c r="G229" s="88" t="str">
        <x:f>IF(C229="","",MIN(MAX(0,D229+E229-F229),SUMIFS(SONDERZAHLUNGEN!$E$9:$E$128,SONDERZAHLUNGEN!$B$9:$B$128,C229,SONDERZAHLUNGEN!$C$9:$C$128,A229,SONDERZAHLUNGEN!$H$9:$H$128,"OK",SONDERZAHLUNGEN!$F$9:$F$128,"Ja")))</x:f>
      </x:c>
      <x:c r="H229" s="88" t="str">
        <x:f>IF(C229="","",MIN(MAX(0,D229+E229-F229-G229),MAX(0,IF(MONATSBUDGET!$C$18="",0,MONATSBUDGET!$C$18)-SUM(F220:F239)-SUM(H220:H228))))</x:f>
      </x:c>
      <x:c r="I229" s="88" t="str">
        <x:f>IF(C229="","",MAX(0,ROUND(D229+E229-F229-G229-H229,2)))</x:f>
      </x:c>
      <x:c r="J229" s="88" t="str">
        <x:f>IF(C229="","",F229+G229+H229)</x:f>
      </x:c>
      <x:c r="K229" s="88" t="str">
        <x:f>IF(C229="","",MAX(0,SUMIFS(SONDERZAHLUNGEN!$E$9:$E$128,SONDERZAHLUNGEN!$B$9:$B$128,C229,SONDERZAHLUNGEN!$C$9:$C$128,A229,SONDERZAHLUNGEN!$H$9:$H$128,"OK",SONDERZAHLUNGEN!$F$9:$F$128,"Ja")-G229))</x:f>
      </x:c>
    </x:row>
    <x:row r="230" ht="19" customHeight="1">
      <x:c r="A230" s="90" t="n">
        <x:f>MONATSBUDGET!$A$18</x:f>
        <x:v>46539</x:v>
      </x:c>
      <x:c r="B230" t="n">
        <x:f>11</x:f>
        <x:v>11</x:v>
      </x:c>
      <x:c r="C230" t="str">
        <x:f>IF($N$19="","",$N$19)</x:f>
      </x:c>
      <x:c r="D230" s="88" t="str">
        <x:f>IF(C230="","",I210)</x:f>
      </x:c>
      <x:c r="E230" s="88" t="str">
        <x:f>IF(C230="","",ROUND(D230*$P$19/12,2))</x:f>
      </x:c>
      <x:c r="F230" s="88" t="str">
        <x:f>IF(C230="","",MIN(D230+E230,$Q$19))</x:f>
      </x:c>
      <x:c r="G230" s="88" t="str">
        <x:f>IF(C230="","",MIN(MAX(0,D230+E230-F230),SUMIFS(SONDERZAHLUNGEN!$E$9:$E$128,SONDERZAHLUNGEN!$B$9:$B$128,C230,SONDERZAHLUNGEN!$C$9:$C$128,A230,SONDERZAHLUNGEN!$H$9:$H$128,"OK",SONDERZAHLUNGEN!$F$9:$F$128,"Ja")))</x:f>
      </x:c>
      <x:c r="H230" s="88" t="str">
        <x:f>IF(C230="","",MIN(MAX(0,D230+E230-F230-G230),MAX(0,IF(MONATSBUDGET!$C$18="",0,MONATSBUDGET!$C$18)-SUM(F220:F239)-SUM(H220:H229))))</x:f>
      </x:c>
      <x:c r="I230" s="88" t="str">
        <x:f>IF(C230="","",MAX(0,ROUND(D230+E230-F230-G230-H230,2)))</x:f>
      </x:c>
      <x:c r="J230" s="88" t="str">
        <x:f>IF(C230="","",F230+G230+H230)</x:f>
      </x:c>
      <x:c r="K230" s="88" t="str">
        <x:f>IF(C230="","",MAX(0,SUMIFS(SONDERZAHLUNGEN!$E$9:$E$128,SONDERZAHLUNGEN!$B$9:$B$128,C230,SONDERZAHLUNGEN!$C$9:$C$128,A230,SONDERZAHLUNGEN!$H$9:$H$128,"OK",SONDERZAHLUNGEN!$F$9:$F$128,"Ja")-G230))</x:f>
      </x:c>
    </x:row>
    <x:row r="231" ht="19" customHeight="1">
      <x:c r="A231" s="90" t="n">
        <x:f>MONATSBUDGET!$A$18</x:f>
        <x:v>46539</x:v>
      </x:c>
      <x:c r="B231" t="n">
        <x:f>12</x:f>
        <x:v>12</x:v>
      </x:c>
      <x:c r="C231" t="str">
        <x:f>IF($N$20="","",$N$20)</x:f>
      </x:c>
      <x:c r="D231" s="88" t="str">
        <x:f>IF(C231="","",I211)</x:f>
      </x:c>
      <x:c r="E231" s="88" t="str">
        <x:f>IF(C231="","",ROUND(D231*$P$20/12,2))</x:f>
      </x:c>
      <x:c r="F231" s="88" t="str">
        <x:f>IF(C231="","",MIN(D231+E231,$Q$20))</x:f>
      </x:c>
      <x:c r="G231" s="88" t="str">
        <x:f>IF(C231="","",MIN(MAX(0,D231+E231-F231),SUMIFS(SONDERZAHLUNGEN!$E$9:$E$128,SONDERZAHLUNGEN!$B$9:$B$128,C231,SONDERZAHLUNGEN!$C$9:$C$128,A231,SONDERZAHLUNGEN!$H$9:$H$128,"OK",SONDERZAHLUNGEN!$F$9:$F$128,"Ja")))</x:f>
      </x:c>
      <x:c r="H231" s="88" t="str">
        <x:f>IF(C231="","",MIN(MAX(0,D231+E231-F231-G231),MAX(0,IF(MONATSBUDGET!$C$18="",0,MONATSBUDGET!$C$18)-SUM(F220:F239)-SUM(H220:H230))))</x:f>
      </x:c>
      <x:c r="I231" s="88" t="str">
        <x:f>IF(C231="","",MAX(0,ROUND(D231+E231-F231-G231-H231,2)))</x:f>
      </x:c>
      <x:c r="J231" s="88" t="str">
        <x:f>IF(C231="","",F231+G231+H231)</x:f>
      </x:c>
      <x:c r="K231" s="88" t="str">
        <x:f>IF(C231="","",MAX(0,SUMIFS(SONDERZAHLUNGEN!$E$9:$E$128,SONDERZAHLUNGEN!$B$9:$B$128,C231,SONDERZAHLUNGEN!$C$9:$C$128,A231,SONDERZAHLUNGEN!$H$9:$H$128,"OK",SONDERZAHLUNGEN!$F$9:$F$128,"Ja")-G231))</x:f>
      </x:c>
    </x:row>
    <x:row r="232" ht="19" customHeight="1">
      <x:c r="A232" s="90" t="n">
        <x:f>MONATSBUDGET!$A$18</x:f>
        <x:v>46539</x:v>
      </x:c>
      <x:c r="B232" t="n">
        <x:f>13</x:f>
        <x:v>13</x:v>
      </x:c>
      <x:c r="C232" t="str">
        <x:f>IF($N$21="","",$N$21)</x:f>
      </x:c>
      <x:c r="D232" s="88" t="str">
        <x:f>IF(C232="","",I212)</x:f>
      </x:c>
      <x:c r="E232" s="88" t="str">
        <x:f>IF(C232="","",ROUND(D232*$P$21/12,2))</x:f>
      </x:c>
      <x:c r="F232" s="88" t="str">
        <x:f>IF(C232="","",MIN(D232+E232,$Q$21))</x:f>
      </x:c>
      <x:c r="G232" s="88" t="str">
        <x:f>IF(C232="","",MIN(MAX(0,D232+E232-F232),SUMIFS(SONDERZAHLUNGEN!$E$9:$E$128,SONDERZAHLUNGEN!$B$9:$B$128,C232,SONDERZAHLUNGEN!$C$9:$C$128,A232,SONDERZAHLUNGEN!$H$9:$H$128,"OK",SONDERZAHLUNGEN!$F$9:$F$128,"Ja")))</x:f>
      </x:c>
      <x:c r="H232" s="88" t="str">
        <x:f>IF(C232="","",MIN(MAX(0,D232+E232-F232-G232),MAX(0,IF(MONATSBUDGET!$C$18="",0,MONATSBUDGET!$C$18)-SUM(F220:F239)-SUM(H220:H231))))</x:f>
      </x:c>
      <x:c r="I232" s="88" t="str">
        <x:f>IF(C232="","",MAX(0,ROUND(D232+E232-F232-G232-H232,2)))</x:f>
      </x:c>
      <x:c r="J232" s="88" t="str">
        <x:f>IF(C232="","",F232+G232+H232)</x:f>
      </x:c>
      <x:c r="K232" s="88" t="str">
        <x:f>IF(C232="","",MAX(0,SUMIFS(SONDERZAHLUNGEN!$E$9:$E$128,SONDERZAHLUNGEN!$B$9:$B$128,C232,SONDERZAHLUNGEN!$C$9:$C$128,A232,SONDERZAHLUNGEN!$H$9:$H$128,"OK",SONDERZAHLUNGEN!$F$9:$F$128,"Ja")-G232))</x:f>
      </x:c>
    </x:row>
    <x:row r="233" ht="19" customHeight="1">
      <x:c r="A233" s="90" t="n">
        <x:f>MONATSBUDGET!$A$18</x:f>
        <x:v>46539</x:v>
      </x:c>
      <x:c r="B233" t="n">
        <x:f>14</x:f>
        <x:v>14</x:v>
      </x:c>
      <x:c r="C233" t="str">
        <x:f>IF($N$22="","",$N$22)</x:f>
      </x:c>
      <x:c r="D233" s="88" t="str">
        <x:f>IF(C233="","",I213)</x:f>
      </x:c>
      <x:c r="E233" s="88" t="str">
        <x:f>IF(C233="","",ROUND(D233*$P$22/12,2))</x:f>
      </x:c>
      <x:c r="F233" s="88" t="str">
        <x:f>IF(C233="","",MIN(D233+E233,$Q$22))</x:f>
      </x:c>
      <x:c r="G233" s="88" t="str">
        <x:f>IF(C233="","",MIN(MAX(0,D233+E233-F233),SUMIFS(SONDERZAHLUNGEN!$E$9:$E$128,SONDERZAHLUNGEN!$B$9:$B$128,C233,SONDERZAHLUNGEN!$C$9:$C$128,A233,SONDERZAHLUNGEN!$H$9:$H$128,"OK",SONDERZAHLUNGEN!$F$9:$F$128,"Ja")))</x:f>
      </x:c>
      <x:c r="H233" s="88" t="str">
        <x:f>IF(C233="","",MIN(MAX(0,D233+E233-F233-G233),MAX(0,IF(MONATSBUDGET!$C$18="",0,MONATSBUDGET!$C$18)-SUM(F220:F239)-SUM(H220:H232))))</x:f>
      </x:c>
      <x:c r="I233" s="88" t="str">
        <x:f>IF(C233="","",MAX(0,ROUND(D233+E233-F233-G233-H233,2)))</x:f>
      </x:c>
      <x:c r="J233" s="88" t="str">
        <x:f>IF(C233="","",F233+G233+H233)</x:f>
      </x:c>
      <x:c r="K233" s="88" t="str">
        <x:f>IF(C233="","",MAX(0,SUMIFS(SONDERZAHLUNGEN!$E$9:$E$128,SONDERZAHLUNGEN!$B$9:$B$128,C233,SONDERZAHLUNGEN!$C$9:$C$128,A233,SONDERZAHLUNGEN!$H$9:$H$128,"OK",SONDERZAHLUNGEN!$F$9:$F$128,"Ja")-G233))</x:f>
      </x:c>
    </x:row>
    <x:row r="234" ht="19" customHeight="1">
      <x:c r="A234" s="90" t="n">
        <x:f>MONATSBUDGET!$A$18</x:f>
        <x:v>46539</x:v>
      </x:c>
      <x:c r="B234" t="n">
        <x:f>15</x:f>
        <x:v>15</x:v>
      </x:c>
      <x:c r="C234" t="str">
        <x:f>IF($N$23="","",$N$23)</x:f>
      </x:c>
      <x:c r="D234" s="88" t="str">
        <x:f>IF(C234="","",I214)</x:f>
      </x:c>
      <x:c r="E234" s="88" t="str">
        <x:f>IF(C234="","",ROUND(D234*$P$23/12,2))</x:f>
      </x:c>
      <x:c r="F234" s="88" t="str">
        <x:f>IF(C234="","",MIN(D234+E234,$Q$23))</x:f>
      </x:c>
      <x:c r="G234" s="88" t="str">
        <x:f>IF(C234="","",MIN(MAX(0,D234+E234-F234),SUMIFS(SONDERZAHLUNGEN!$E$9:$E$128,SONDERZAHLUNGEN!$B$9:$B$128,C234,SONDERZAHLUNGEN!$C$9:$C$128,A234,SONDERZAHLUNGEN!$H$9:$H$128,"OK",SONDERZAHLUNGEN!$F$9:$F$128,"Ja")))</x:f>
      </x:c>
      <x:c r="H234" s="88" t="str">
        <x:f>IF(C234="","",MIN(MAX(0,D234+E234-F234-G234),MAX(0,IF(MONATSBUDGET!$C$18="",0,MONATSBUDGET!$C$18)-SUM(F220:F239)-SUM(H220:H233))))</x:f>
      </x:c>
      <x:c r="I234" s="88" t="str">
        <x:f>IF(C234="","",MAX(0,ROUND(D234+E234-F234-G234-H234,2)))</x:f>
      </x:c>
      <x:c r="J234" s="88" t="str">
        <x:f>IF(C234="","",F234+G234+H234)</x:f>
      </x:c>
      <x:c r="K234" s="88" t="str">
        <x:f>IF(C234="","",MAX(0,SUMIFS(SONDERZAHLUNGEN!$E$9:$E$128,SONDERZAHLUNGEN!$B$9:$B$128,C234,SONDERZAHLUNGEN!$C$9:$C$128,A234,SONDERZAHLUNGEN!$H$9:$H$128,"OK",SONDERZAHLUNGEN!$F$9:$F$128,"Ja")-G234))</x:f>
      </x:c>
    </x:row>
    <x:row r="235" ht="19" customHeight="1">
      <x:c r="A235" s="90" t="n">
        <x:f>MONATSBUDGET!$A$18</x:f>
        <x:v>46539</x:v>
      </x:c>
      <x:c r="B235" t="n">
        <x:f>16</x:f>
        <x:v>16</x:v>
      </x:c>
      <x:c r="C235" t="str">
        <x:f>IF($N$24="","",$N$24)</x:f>
      </x:c>
      <x:c r="D235" s="88" t="str">
        <x:f>IF(C235="","",I215)</x:f>
      </x:c>
      <x:c r="E235" s="88" t="str">
        <x:f>IF(C235="","",ROUND(D235*$P$24/12,2))</x:f>
      </x:c>
      <x:c r="F235" s="88" t="str">
        <x:f>IF(C235="","",MIN(D235+E235,$Q$24))</x:f>
      </x:c>
      <x:c r="G235" s="88" t="str">
        <x:f>IF(C235="","",MIN(MAX(0,D235+E235-F235),SUMIFS(SONDERZAHLUNGEN!$E$9:$E$128,SONDERZAHLUNGEN!$B$9:$B$128,C235,SONDERZAHLUNGEN!$C$9:$C$128,A235,SONDERZAHLUNGEN!$H$9:$H$128,"OK",SONDERZAHLUNGEN!$F$9:$F$128,"Ja")))</x:f>
      </x:c>
      <x:c r="H235" s="88" t="str">
        <x:f>IF(C235="","",MIN(MAX(0,D235+E235-F235-G235),MAX(0,IF(MONATSBUDGET!$C$18="",0,MONATSBUDGET!$C$18)-SUM(F220:F239)-SUM(H220:H234))))</x:f>
      </x:c>
      <x:c r="I235" s="88" t="str">
        <x:f>IF(C235="","",MAX(0,ROUND(D235+E235-F235-G235-H235,2)))</x:f>
      </x:c>
      <x:c r="J235" s="88" t="str">
        <x:f>IF(C235="","",F235+G235+H235)</x:f>
      </x:c>
      <x:c r="K235" s="88" t="str">
        <x:f>IF(C235="","",MAX(0,SUMIFS(SONDERZAHLUNGEN!$E$9:$E$128,SONDERZAHLUNGEN!$B$9:$B$128,C235,SONDERZAHLUNGEN!$C$9:$C$128,A235,SONDERZAHLUNGEN!$H$9:$H$128,"OK",SONDERZAHLUNGEN!$F$9:$F$128,"Ja")-G235))</x:f>
      </x:c>
    </x:row>
    <x:row r="236" ht="19" customHeight="1">
      <x:c r="A236" s="90" t="n">
        <x:f>MONATSBUDGET!$A$18</x:f>
        <x:v>46539</x:v>
      </x:c>
      <x:c r="B236" t="n">
        <x:f>17</x:f>
        <x:v>17</x:v>
      </x:c>
      <x:c r="C236" t="str">
        <x:f>IF($N$25="","",$N$25)</x:f>
      </x:c>
      <x:c r="D236" s="88" t="str">
        <x:f>IF(C236="","",I216)</x:f>
      </x:c>
      <x:c r="E236" s="88" t="str">
        <x:f>IF(C236="","",ROUND(D236*$P$25/12,2))</x:f>
      </x:c>
      <x:c r="F236" s="88" t="str">
        <x:f>IF(C236="","",MIN(D236+E236,$Q$25))</x:f>
      </x:c>
      <x:c r="G236" s="88" t="str">
        <x:f>IF(C236="","",MIN(MAX(0,D236+E236-F236),SUMIFS(SONDERZAHLUNGEN!$E$9:$E$128,SONDERZAHLUNGEN!$B$9:$B$128,C236,SONDERZAHLUNGEN!$C$9:$C$128,A236,SONDERZAHLUNGEN!$H$9:$H$128,"OK",SONDERZAHLUNGEN!$F$9:$F$128,"Ja")))</x:f>
      </x:c>
      <x:c r="H236" s="88" t="str">
        <x:f>IF(C236="","",MIN(MAX(0,D236+E236-F236-G236),MAX(0,IF(MONATSBUDGET!$C$18="",0,MONATSBUDGET!$C$18)-SUM(F220:F239)-SUM(H220:H235))))</x:f>
      </x:c>
      <x:c r="I236" s="88" t="str">
        <x:f>IF(C236="","",MAX(0,ROUND(D236+E236-F236-G236-H236,2)))</x:f>
      </x:c>
      <x:c r="J236" s="88" t="str">
        <x:f>IF(C236="","",F236+G236+H236)</x:f>
      </x:c>
      <x:c r="K236" s="88" t="str">
        <x:f>IF(C236="","",MAX(0,SUMIFS(SONDERZAHLUNGEN!$E$9:$E$128,SONDERZAHLUNGEN!$B$9:$B$128,C236,SONDERZAHLUNGEN!$C$9:$C$128,A236,SONDERZAHLUNGEN!$H$9:$H$128,"OK",SONDERZAHLUNGEN!$F$9:$F$128,"Ja")-G236))</x:f>
      </x:c>
    </x:row>
    <x:row r="237" ht="19" customHeight="1">
      <x:c r="A237" s="90" t="n">
        <x:f>MONATSBUDGET!$A$18</x:f>
        <x:v>46539</x:v>
      </x:c>
      <x:c r="B237" t="n">
        <x:f>18</x:f>
        <x:v>18</x:v>
      </x:c>
      <x:c r="C237" t="str">
        <x:f>IF($N$26="","",$N$26)</x:f>
      </x:c>
      <x:c r="D237" s="88" t="str">
        <x:f>IF(C237="","",I217)</x:f>
      </x:c>
      <x:c r="E237" s="88" t="str">
        <x:f>IF(C237="","",ROUND(D237*$P$26/12,2))</x:f>
      </x:c>
      <x:c r="F237" s="88" t="str">
        <x:f>IF(C237="","",MIN(D237+E237,$Q$26))</x:f>
      </x:c>
      <x:c r="G237" s="88" t="str">
        <x:f>IF(C237="","",MIN(MAX(0,D237+E237-F237),SUMIFS(SONDERZAHLUNGEN!$E$9:$E$128,SONDERZAHLUNGEN!$B$9:$B$128,C237,SONDERZAHLUNGEN!$C$9:$C$128,A237,SONDERZAHLUNGEN!$H$9:$H$128,"OK",SONDERZAHLUNGEN!$F$9:$F$128,"Ja")))</x:f>
      </x:c>
      <x:c r="H237" s="88" t="str">
        <x:f>IF(C237="","",MIN(MAX(0,D237+E237-F237-G237),MAX(0,IF(MONATSBUDGET!$C$18="",0,MONATSBUDGET!$C$18)-SUM(F220:F239)-SUM(H220:H236))))</x:f>
      </x:c>
      <x:c r="I237" s="88" t="str">
        <x:f>IF(C237="","",MAX(0,ROUND(D237+E237-F237-G237-H237,2)))</x:f>
      </x:c>
      <x:c r="J237" s="88" t="str">
        <x:f>IF(C237="","",F237+G237+H237)</x:f>
      </x:c>
      <x:c r="K237" s="88" t="str">
        <x:f>IF(C237="","",MAX(0,SUMIFS(SONDERZAHLUNGEN!$E$9:$E$128,SONDERZAHLUNGEN!$B$9:$B$128,C237,SONDERZAHLUNGEN!$C$9:$C$128,A237,SONDERZAHLUNGEN!$H$9:$H$128,"OK",SONDERZAHLUNGEN!$F$9:$F$128,"Ja")-G237))</x:f>
      </x:c>
    </x:row>
    <x:row r="238" ht="19" customHeight="1">
      <x:c r="A238" s="90" t="n">
        <x:f>MONATSBUDGET!$A$18</x:f>
        <x:v>46539</x:v>
      </x:c>
      <x:c r="B238" t="n">
        <x:f>19</x:f>
        <x:v>19</x:v>
      </x:c>
      <x:c r="C238" t="str">
        <x:f>IF($N$27="","",$N$27)</x:f>
      </x:c>
      <x:c r="D238" s="88" t="str">
        <x:f>IF(C238="","",I218)</x:f>
      </x:c>
      <x:c r="E238" s="88" t="str">
        <x:f>IF(C238="","",ROUND(D238*$P$27/12,2))</x:f>
      </x:c>
      <x:c r="F238" s="88" t="str">
        <x:f>IF(C238="","",MIN(D238+E238,$Q$27))</x:f>
      </x:c>
      <x:c r="G238" s="88" t="str">
        <x:f>IF(C238="","",MIN(MAX(0,D238+E238-F238),SUMIFS(SONDERZAHLUNGEN!$E$9:$E$128,SONDERZAHLUNGEN!$B$9:$B$128,C238,SONDERZAHLUNGEN!$C$9:$C$128,A238,SONDERZAHLUNGEN!$H$9:$H$128,"OK",SONDERZAHLUNGEN!$F$9:$F$128,"Ja")))</x:f>
      </x:c>
      <x:c r="H238" s="88" t="str">
        <x:f>IF(C238="","",MIN(MAX(0,D238+E238-F238-G238),MAX(0,IF(MONATSBUDGET!$C$18="",0,MONATSBUDGET!$C$18)-SUM(F220:F239)-SUM(H220:H237))))</x:f>
      </x:c>
      <x:c r="I238" s="88" t="str">
        <x:f>IF(C238="","",MAX(0,ROUND(D238+E238-F238-G238-H238,2)))</x:f>
      </x:c>
      <x:c r="J238" s="88" t="str">
        <x:f>IF(C238="","",F238+G238+H238)</x:f>
      </x:c>
      <x:c r="K238" s="88" t="str">
        <x:f>IF(C238="","",MAX(0,SUMIFS(SONDERZAHLUNGEN!$E$9:$E$128,SONDERZAHLUNGEN!$B$9:$B$128,C238,SONDERZAHLUNGEN!$C$9:$C$128,A238,SONDERZAHLUNGEN!$H$9:$H$128,"OK",SONDERZAHLUNGEN!$F$9:$F$128,"Ja")-G238))</x:f>
      </x:c>
    </x:row>
    <x:row r="239" ht="19" customHeight="1">
      <x:c r="A239" s="90" t="n">
        <x:f>MONATSBUDGET!$A$18</x:f>
        <x:v>46539</x:v>
      </x:c>
      <x:c r="B239" t="n">
        <x:f>20</x:f>
        <x:v>20</x:v>
      </x:c>
      <x:c r="C239" t="str">
        <x:f>IF($N$28="","",$N$28)</x:f>
      </x:c>
      <x:c r="D239" s="88" t="str">
        <x:f>IF(C239="","",I219)</x:f>
      </x:c>
      <x:c r="E239" s="88" t="str">
        <x:f>IF(C239="","",ROUND(D239*$P$28/12,2))</x:f>
      </x:c>
      <x:c r="F239" s="88" t="str">
        <x:f>IF(C239="","",MIN(D239+E239,$Q$28))</x:f>
      </x:c>
      <x:c r="G239" s="88" t="str">
        <x:f>IF(C239="","",MIN(MAX(0,D239+E239-F239),SUMIFS(SONDERZAHLUNGEN!$E$9:$E$128,SONDERZAHLUNGEN!$B$9:$B$128,C239,SONDERZAHLUNGEN!$C$9:$C$128,A239,SONDERZAHLUNGEN!$H$9:$H$128,"OK",SONDERZAHLUNGEN!$F$9:$F$128,"Ja")))</x:f>
      </x:c>
      <x:c r="H239" s="88" t="str">
        <x:f>IF(C239="","",MIN(MAX(0,D239+E239-F239-G239),MAX(0,IF(MONATSBUDGET!$C$18="",0,MONATSBUDGET!$C$18)-SUM(F220:F239)-SUM(H220:H238))))</x:f>
      </x:c>
      <x:c r="I239" s="88" t="str">
        <x:f>IF(C239="","",MAX(0,ROUND(D239+E239-F239-G239-H239,2)))</x:f>
      </x:c>
      <x:c r="J239" s="88" t="str">
        <x:f>IF(C239="","",F239+G239+H239)</x:f>
      </x:c>
      <x:c r="K239" s="88" t="str">
        <x:f>IF(C239="","",MAX(0,SUMIFS(SONDERZAHLUNGEN!$E$9:$E$128,SONDERZAHLUNGEN!$B$9:$B$128,C239,SONDERZAHLUNGEN!$C$9:$C$128,A239,SONDERZAHLUNGEN!$H$9:$H$128,"OK",SONDERZAHLUNGEN!$F$9:$F$128,"Ja")-G239))</x:f>
      </x:c>
    </x:row>
    <x:row r="240" ht="19" customHeight="1">
      <x:c r="A240" s="90" t="n">
        <x:f>MONATSBUDGET!$A$19</x:f>
        <x:v>46569</x:v>
      </x:c>
      <x:c r="B240" t="n">
        <x:f>1</x:f>
        <x:v>1</x:v>
      </x:c>
      <x:c r="C240" t="str">
        <x:f>IF($N$9="","",$N$9)</x:f>
      </x:c>
      <x:c r="D240" s="88" t="str">
        <x:f>IF(C240="","",I220)</x:f>
      </x:c>
      <x:c r="E240" s="88" t="str">
        <x:f>IF(C240="","",ROUND(D240*$P$9/12,2))</x:f>
      </x:c>
      <x:c r="F240" s="88" t="str">
        <x:f>IF(C240="","",MIN(D240+E240,$Q$9))</x:f>
      </x:c>
      <x:c r="G240" s="88" t="str">
        <x:f>IF(C240="","",MIN(MAX(0,D240+E240-F240),SUMIFS(SONDERZAHLUNGEN!$E$9:$E$128,SONDERZAHLUNGEN!$B$9:$B$128,C240,SONDERZAHLUNGEN!$C$9:$C$128,A240,SONDERZAHLUNGEN!$H$9:$H$128,"OK",SONDERZAHLUNGEN!$F$9:$F$128,"Ja")))</x:f>
      </x:c>
      <x:c r="H240" s="88" t="str">
        <x:f>IF(C240="","",MIN(MAX(0,D240+E240-F240-G240),MAX(0,IF(MONATSBUDGET!$C$19="",0,MONATSBUDGET!$C$19)-SUM(F240:F259)-0)))</x:f>
      </x:c>
      <x:c r="I240" s="88" t="str">
        <x:f>IF(C240="","",MAX(0,ROUND(D240+E240-F240-G240-H240,2)))</x:f>
      </x:c>
      <x:c r="J240" s="88" t="str">
        <x:f>IF(C240="","",F240+G240+H240)</x:f>
      </x:c>
      <x:c r="K240" s="88" t="str">
        <x:f>IF(C240="","",MAX(0,SUMIFS(SONDERZAHLUNGEN!$E$9:$E$128,SONDERZAHLUNGEN!$B$9:$B$128,C240,SONDERZAHLUNGEN!$C$9:$C$128,A240,SONDERZAHLUNGEN!$H$9:$H$128,"OK",SONDERZAHLUNGEN!$F$9:$F$128,"Ja")-G240))</x:f>
      </x:c>
    </x:row>
    <x:row r="241" ht="19" customHeight="1">
      <x:c r="A241" s="90" t="n">
        <x:f>MONATSBUDGET!$A$19</x:f>
        <x:v>46569</x:v>
      </x:c>
      <x:c r="B241" t="n">
        <x:f>2</x:f>
        <x:v>2</x:v>
      </x:c>
      <x:c r="C241" t="str">
        <x:f>IF($N$10="","",$N$10)</x:f>
      </x:c>
      <x:c r="D241" s="88" t="str">
        <x:f>IF(C241="","",I221)</x:f>
      </x:c>
      <x:c r="E241" s="88" t="str">
        <x:f>IF(C241="","",ROUND(D241*$P$10/12,2))</x:f>
      </x:c>
      <x:c r="F241" s="88" t="str">
        <x:f>IF(C241="","",MIN(D241+E241,$Q$10))</x:f>
      </x:c>
      <x:c r="G241" s="88" t="str">
        <x:f>IF(C241="","",MIN(MAX(0,D241+E241-F241),SUMIFS(SONDERZAHLUNGEN!$E$9:$E$128,SONDERZAHLUNGEN!$B$9:$B$128,C241,SONDERZAHLUNGEN!$C$9:$C$128,A241,SONDERZAHLUNGEN!$H$9:$H$128,"OK",SONDERZAHLUNGEN!$F$9:$F$128,"Ja")))</x:f>
      </x:c>
      <x:c r="H241" s="88" t="str">
        <x:f>IF(C241="","",MIN(MAX(0,D241+E241-F241-G241),MAX(0,IF(MONATSBUDGET!$C$19="",0,MONATSBUDGET!$C$19)-SUM(F240:F259)-SUM(H240:H240))))</x:f>
      </x:c>
      <x:c r="I241" s="88" t="str">
        <x:f>IF(C241="","",MAX(0,ROUND(D241+E241-F241-G241-H241,2)))</x:f>
      </x:c>
      <x:c r="J241" s="88" t="str">
        <x:f>IF(C241="","",F241+G241+H241)</x:f>
      </x:c>
      <x:c r="K241" s="88" t="str">
        <x:f>IF(C241="","",MAX(0,SUMIFS(SONDERZAHLUNGEN!$E$9:$E$128,SONDERZAHLUNGEN!$B$9:$B$128,C241,SONDERZAHLUNGEN!$C$9:$C$128,A241,SONDERZAHLUNGEN!$H$9:$H$128,"OK",SONDERZAHLUNGEN!$F$9:$F$128,"Ja")-G241))</x:f>
      </x:c>
    </x:row>
    <x:row r="242" ht="19" customHeight="1">
      <x:c r="A242" s="90" t="n">
        <x:f>MONATSBUDGET!$A$19</x:f>
        <x:v>46569</x:v>
      </x:c>
      <x:c r="B242" t="n">
        <x:f>3</x:f>
        <x:v>3</x:v>
      </x:c>
      <x:c r="C242" t="str">
        <x:f>IF($N$11="","",$N$11)</x:f>
      </x:c>
      <x:c r="D242" s="88" t="str">
        <x:f>IF(C242="","",I222)</x:f>
      </x:c>
      <x:c r="E242" s="88" t="str">
        <x:f>IF(C242="","",ROUND(D242*$P$11/12,2))</x:f>
      </x:c>
      <x:c r="F242" s="88" t="str">
        <x:f>IF(C242="","",MIN(D242+E242,$Q$11))</x:f>
      </x:c>
      <x:c r="G242" s="88" t="str">
        <x:f>IF(C242="","",MIN(MAX(0,D242+E242-F242),SUMIFS(SONDERZAHLUNGEN!$E$9:$E$128,SONDERZAHLUNGEN!$B$9:$B$128,C242,SONDERZAHLUNGEN!$C$9:$C$128,A242,SONDERZAHLUNGEN!$H$9:$H$128,"OK",SONDERZAHLUNGEN!$F$9:$F$128,"Ja")))</x:f>
      </x:c>
      <x:c r="H242" s="88" t="str">
        <x:f>IF(C242="","",MIN(MAX(0,D242+E242-F242-G242),MAX(0,IF(MONATSBUDGET!$C$19="",0,MONATSBUDGET!$C$19)-SUM(F240:F259)-SUM(H240:H241))))</x:f>
      </x:c>
      <x:c r="I242" s="88" t="str">
        <x:f>IF(C242="","",MAX(0,ROUND(D242+E242-F242-G242-H242,2)))</x:f>
      </x:c>
      <x:c r="J242" s="88" t="str">
        <x:f>IF(C242="","",F242+G242+H242)</x:f>
      </x:c>
      <x:c r="K242" s="88" t="str">
        <x:f>IF(C242="","",MAX(0,SUMIFS(SONDERZAHLUNGEN!$E$9:$E$128,SONDERZAHLUNGEN!$B$9:$B$128,C242,SONDERZAHLUNGEN!$C$9:$C$128,A242,SONDERZAHLUNGEN!$H$9:$H$128,"OK",SONDERZAHLUNGEN!$F$9:$F$128,"Ja")-G242))</x:f>
      </x:c>
    </x:row>
    <x:row r="243" ht="19" customHeight="1">
      <x:c r="A243" s="90" t="n">
        <x:f>MONATSBUDGET!$A$19</x:f>
        <x:v>46569</x:v>
      </x:c>
      <x:c r="B243" t="n">
        <x:f>4</x:f>
        <x:v>4</x:v>
      </x:c>
      <x:c r="C243" t="str">
        <x:f>IF($N$12="","",$N$12)</x:f>
      </x:c>
      <x:c r="D243" s="88" t="str">
        <x:f>IF(C243="","",I223)</x:f>
      </x:c>
      <x:c r="E243" s="88" t="str">
        <x:f>IF(C243="","",ROUND(D243*$P$12/12,2))</x:f>
      </x:c>
      <x:c r="F243" s="88" t="str">
        <x:f>IF(C243="","",MIN(D243+E243,$Q$12))</x:f>
      </x:c>
      <x:c r="G243" s="88" t="str">
        <x:f>IF(C243="","",MIN(MAX(0,D243+E243-F243),SUMIFS(SONDERZAHLUNGEN!$E$9:$E$128,SONDERZAHLUNGEN!$B$9:$B$128,C243,SONDERZAHLUNGEN!$C$9:$C$128,A243,SONDERZAHLUNGEN!$H$9:$H$128,"OK",SONDERZAHLUNGEN!$F$9:$F$128,"Ja")))</x:f>
      </x:c>
      <x:c r="H243" s="88" t="str">
        <x:f>IF(C243="","",MIN(MAX(0,D243+E243-F243-G243),MAX(0,IF(MONATSBUDGET!$C$19="",0,MONATSBUDGET!$C$19)-SUM(F240:F259)-SUM(H240:H242))))</x:f>
      </x:c>
      <x:c r="I243" s="88" t="str">
        <x:f>IF(C243="","",MAX(0,ROUND(D243+E243-F243-G243-H243,2)))</x:f>
      </x:c>
      <x:c r="J243" s="88" t="str">
        <x:f>IF(C243="","",F243+G243+H243)</x:f>
      </x:c>
      <x:c r="K243" s="88" t="str">
        <x:f>IF(C243="","",MAX(0,SUMIFS(SONDERZAHLUNGEN!$E$9:$E$128,SONDERZAHLUNGEN!$B$9:$B$128,C243,SONDERZAHLUNGEN!$C$9:$C$128,A243,SONDERZAHLUNGEN!$H$9:$H$128,"OK",SONDERZAHLUNGEN!$F$9:$F$128,"Ja")-G243))</x:f>
      </x:c>
    </x:row>
    <x:row r="244" ht="19" customHeight="1">
      <x:c r="A244" s="90" t="n">
        <x:f>MONATSBUDGET!$A$19</x:f>
        <x:v>46569</x:v>
      </x:c>
      <x:c r="B244" t="n">
        <x:f>5</x:f>
        <x:v>5</x:v>
      </x:c>
      <x:c r="C244" t="str">
        <x:f>IF($N$13="","",$N$13)</x:f>
      </x:c>
      <x:c r="D244" s="88" t="str">
        <x:f>IF(C244="","",I224)</x:f>
      </x:c>
      <x:c r="E244" s="88" t="str">
        <x:f>IF(C244="","",ROUND(D244*$P$13/12,2))</x:f>
      </x:c>
      <x:c r="F244" s="88" t="str">
        <x:f>IF(C244="","",MIN(D244+E244,$Q$13))</x:f>
      </x:c>
      <x:c r="G244" s="88" t="str">
        <x:f>IF(C244="","",MIN(MAX(0,D244+E244-F244),SUMIFS(SONDERZAHLUNGEN!$E$9:$E$128,SONDERZAHLUNGEN!$B$9:$B$128,C244,SONDERZAHLUNGEN!$C$9:$C$128,A244,SONDERZAHLUNGEN!$H$9:$H$128,"OK",SONDERZAHLUNGEN!$F$9:$F$128,"Ja")))</x:f>
      </x:c>
      <x:c r="H244" s="88" t="str">
        <x:f>IF(C244="","",MIN(MAX(0,D244+E244-F244-G244),MAX(0,IF(MONATSBUDGET!$C$19="",0,MONATSBUDGET!$C$19)-SUM(F240:F259)-SUM(H240:H243))))</x:f>
      </x:c>
      <x:c r="I244" s="88" t="str">
        <x:f>IF(C244="","",MAX(0,ROUND(D244+E244-F244-G244-H244,2)))</x:f>
      </x:c>
      <x:c r="J244" s="88" t="str">
        <x:f>IF(C244="","",F244+G244+H244)</x:f>
      </x:c>
      <x:c r="K244" s="88" t="str">
        <x:f>IF(C244="","",MAX(0,SUMIFS(SONDERZAHLUNGEN!$E$9:$E$128,SONDERZAHLUNGEN!$B$9:$B$128,C244,SONDERZAHLUNGEN!$C$9:$C$128,A244,SONDERZAHLUNGEN!$H$9:$H$128,"OK",SONDERZAHLUNGEN!$F$9:$F$128,"Ja")-G244))</x:f>
      </x:c>
    </x:row>
    <x:row r="245" ht="19" customHeight="1">
      <x:c r="A245" s="90" t="n">
        <x:f>MONATSBUDGET!$A$19</x:f>
        <x:v>46569</x:v>
      </x:c>
      <x:c r="B245" t="n">
        <x:f>6</x:f>
        <x:v>6</x:v>
      </x:c>
      <x:c r="C245" t="str">
        <x:f>IF($N$14="","",$N$14)</x:f>
      </x:c>
      <x:c r="D245" s="88" t="str">
        <x:f>IF(C245="","",I225)</x:f>
      </x:c>
      <x:c r="E245" s="88" t="str">
        <x:f>IF(C245="","",ROUND(D245*$P$14/12,2))</x:f>
      </x:c>
      <x:c r="F245" s="88" t="str">
        <x:f>IF(C245="","",MIN(D245+E245,$Q$14))</x:f>
      </x:c>
      <x:c r="G245" s="88" t="str">
        <x:f>IF(C245="","",MIN(MAX(0,D245+E245-F245),SUMIFS(SONDERZAHLUNGEN!$E$9:$E$128,SONDERZAHLUNGEN!$B$9:$B$128,C245,SONDERZAHLUNGEN!$C$9:$C$128,A245,SONDERZAHLUNGEN!$H$9:$H$128,"OK",SONDERZAHLUNGEN!$F$9:$F$128,"Ja")))</x:f>
      </x:c>
      <x:c r="H245" s="88" t="str">
        <x:f>IF(C245="","",MIN(MAX(0,D245+E245-F245-G245),MAX(0,IF(MONATSBUDGET!$C$19="",0,MONATSBUDGET!$C$19)-SUM(F240:F259)-SUM(H240:H244))))</x:f>
      </x:c>
      <x:c r="I245" s="88" t="str">
        <x:f>IF(C245="","",MAX(0,ROUND(D245+E245-F245-G245-H245,2)))</x:f>
      </x:c>
      <x:c r="J245" s="88" t="str">
        <x:f>IF(C245="","",F245+G245+H245)</x:f>
      </x:c>
      <x:c r="K245" s="88" t="str">
        <x:f>IF(C245="","",MAX(0,SUMIFS(SONDERZAHLUNGEN!$E$9:$E$128,SONDERZAHLUNGEN!$B$9:$B$128,C245,SONDERZAHLUNGEN!$C$9:$C$128,A245,SONDERZAHLUNGEN!$H$9:$H$128,"OK",SONDERZAHLUNGEN!$F$9:$F$128,"Ja")-G245))</x:f>
      </x:c>
    </x:row>
    <x:row r="246" ht="19" customHeight="1">
      <x:c r="A246" s="90" t="n">
        <x:f>MONATSBUDGET!$A$19</x:f>
        <x:v>46569</x:v>
      </x:c>
      <x:c r="B246" t="n">
        <x:f>7</x:f>
        <x:v>7</x:v>
      </x:c>
      <x:c r="C246" t="str">
        <x:f>IF($N$15="","",$N$15)</x:f>
      </x:c>
      <x:c r="D246" s="88" t="str">
        <x:f>IF(C246="","",I226)</x:f>
      </x:c>
      <x:c r="E246" s="88" t="str">
        <x:f>IF(C246="","",ROUND(D246*$P$15/12,2))</x:f>
      </x:c>
      <x:c r="F246" s="88" t="str">
        <x:f>IF(C246="","",MIN(D246+E246,$Q$15))</x:f>
      </x:c>
      <x:c r="G246" s="88" t="str">
        <x:f>IF(C246="","",MIN(MAX(0,D246+E246-F246),SUMIFS(SONDERZAHLUNGEN!$E$9:$E$128,SONDERZAHLUNGEN!$B$9:$B$128,C246,SONDERZAHLUNGEN!$C$9:$C$128,A246,SONDERZAHLUNGEN!$H$9:$H$128,"OK",SONDERZAHLUNGEN!$F$9:$F$128,"Ja")))</x:f>
      </x:c>
      <x:c r="H246" s="88" t="str">
        <x:f>IF(C246="","",MIN(MAX(0,D246+E246-F246-G246),MAX(0,IF(MONATSBUDGET!$C$19="",0,MONATSBUDGET!$C$19)-SUM(F240:F259)-SUM(H240:H245))))</x:f>
      </x:c>
      <x:c r="I246" s="88" t="str">
        <x:f>IF(C246="","",MAX(0,ROUND(D246+E246-F246-G246-H246,2)))</x:f>
      </x:c>
      <x:c r="J246" s="88" t="str">
        <x:f>IF(C246="","",F246+G246+H246)</x:f>
      </x:c>
      <x:c r="K246" s="88" t="str">
        <x:f>IF(C246="","",MAX(0,SUMIFS(SONDERZAHLUNGEN!$E$9:$E$128,SONDERZAHLUNGEN!$B$9:$B$128,C246,SONDERZAHLUNGEN!$C$9:$C$128,A246,SONDERZAHLUNGEN!$H$9:$H$128,"OK",SONDERZAHLUNGEN!$F$9:$F$128,"Ja")-G246))</x:f>
      </x:c>
    </x:row>
    <x:row r="247" ht="19" customHeight="1">
      <x:c r="A247" s="90" t="n">
        <x:f>MONATSBUDGET!$A$19</x:f>
        <x:v>46569</x:v>
      </x:c>
      <x:c r="B247" t="n">
        <x:f>8</x:f>
        <x:v>8</x:v>
      </x:c>
      <x:c r="C247" t="str">
        <x:f>IF($N$16="","",$N$16)</x:f>
      </x:c>
      <x:c r="D247" s="88" t="str">
        <x:f>IF(C247="","",I227)</x:f>
      </x:c>
      <x:c r="E247" s="88" t="str">
        <x:f>IF(C247="","",ROUND(D247*$P$16/12,2))</x:f>
      </x:c>
      <x:c r="F247" s="88" t="str">
        <x:f>IF(C247="","",MIN(D247+E247,$Q$16))</x:f>
      </x:c>
      <x:c r="G247" s="88" t="str">
        <x:f>IF(C247="","",MIN(MAX(0,D247+E247-F247),SUMIFS(SONDERZAHLUNGEN!$E$9:$E$128,SONDERZAHLUNGEN!$B$9:$B$128,C247,SONDERZAHLUNGEN!$C$9:$C$128,A247,SONDERZAHLUNGEN!$H$9:$H$128,"OK",SONDERZAHLUNGEN!$F$9:$F$128,"Ja")))</x:f>
      </x:c>
      <x:c r="H247" s="88" t="str">
        <x:f>IF(C247="","",MIN(MAX(0,D247+E247-F247-G247),MAX(0,IF(MONATSBUDGET!$C$19="",0,MONATSBUDGET!$C$19)-SUM(F240:F259)-SUM(H240:H246))))</x:f>
      </x:c>
      <x:c r="I247" s="88" t="str">
        <x:f>IF(C247="","",MAX(0,ROUND(D247+E247-F247-G247-H247,2)))</x:f>
      </x:c>
      <x:c r="J247" s="88" t="str">
        <x:f>IF(C247="","",F247+G247+H247)</x:f>
      </x:c>
      <x:c r="K247" s="88" t="str">
        <x:f>IF(C247="","",MAX(0,SUMIFS(SONDERZAHLUNGEN!$E$9:$E$128,SONDERZAHLUNGEN!$B$9:$B$128,C247,SONDERZAHLUNGEN!$C$9:$C$128,A247,SONDERZAHLUNGEN!$H$9:$H$128,"OK",SONDERZAHLUNGEN!$F$9:$F$128,"Ja")-G247))</x:f>
      </x:c>
    </x:row>
    <x:row r="248" ht="19" customHeight="1">
      <x:c r="A248" s="90" t="n">
        <x:f>MONATSBUDGET!$A$19</x:f>
        <x:v>46569</x:v>
      </x:c>
      <x:c r="B248" t="n">
        <x:f>9</x:f>
        <x:v>9</x:v>
      </x:c>
      <x:c r="C248" t="str">
        <x:f>IF($N$17="","",$N$17)</x:f>
      </x:c>
      <x:c r="D248" s="88" t="str">
        <x:f>IF(C248="","",I228)</x:f>
      </x:c>
      <x:c r="E248" s="88" t="str">
        <x:f>IF(C248="","",ROUND(D248*$P$17/12,2))</x:f>
      </x:c>
      <x:c r="F248" s="88" t="str">
        <x:f>IF(C248="","",MIN(D248+E248,$Q$17))</x:f>
      </x:c>
      <x:c r="G248" s="88" t="str">
        <x:f>IF(C248="","",MIN(MAX(0,D248+E248-F248),SUMIFS(SONDERZAHLUNGEN!$E$9:$E$128,SONDERZAHLUNGEN!$B$9:$B$128,C248,SONDERZAHLUNGEN!$C$9:$C$128,A248,SONDERZAHLUNGEN!$H$9:$H$128,"OK",SONDERZAHLUNGEN!$F$9:$F$128,"Ja")))</x:f>
      </x:c>
      <x:c r="H248" s="88" t="str">
        <x:f>IF(C248="","",MIN(MAX(0,D248+E248-F248-G248),MAX(0,IF(MONATSBUDGET!$C$19="",0,MONATSBUDGET!$C$19)-SUM(F240:F259)-SUM(H240:H247))))</x:f>
      </x:c>
      <x:c r="I248" s="88" t="str">
        <x:f>IF(C248="","",MAX(0,ROUND(D248+E248-F248-G248-H248,2)))</x:f>
      </x:c>
      <x:c r="J248" s="88" t="str">
        <x:f>IF(C248="","",F248+G248+H248)</x:f>
      </x:c>
      <x:c r="K248" s="88" t="str">
        <x:f>IF(C248="","",MAX(0,SUMIFS(SONDERZAHLUNGEN!$E$9:$E$128,SONDERZAHLUNGEN!$B$9:$B$128,C248,SONDERZAHLUNGEN!$C$9:$C$128,A248,SONDERZAHLUNGEN!$H$9:$H$128,"OK",SONDERZAHLUNGEN!$F$9:$F$128,"Ja")-G248))</x:f>
      </x:c>
    </x:row>
    <x:row r="249" ht="19" customHeight="1">
      <x:c r="A249" s="90" t="n">
        <x:f>MONATSBUDGET!$A$19</x:f>
        <x:v>46569</x:v>
      </x:c>
      <x:c r="B249" t="n">
        <x:f>10</x:f>
        <x:v>10</x:v>
      </x:c>
      <x:c r="C249" t="str">
        <x:f>IF($N$18="","",$N$18)</x:f>
      </x:c>
      <x:c r="D249" s="88" t="str">
        <x:f>IF(C249="","",I229)</x:f>
      </x:c>
      <x:c r="E249" s="88" t="str">
        <x:f>IF(C249="","",ROUND(D249*$P$18/12,2))</x:f>
      </x:c>
      <x:c r="F249" s="88" t="str">
        <x:f>IF(C249="","",MIN(D249+E249,$Q$18))</x:f>
      </x:c>
      <x:c r="G249" s="88" t="str">
        <x:f>IF(C249="","",MIN(MAX(0,D249+E249-F249),SUMIFS(SONDERZAHLUNGEN!$E$9:$E$128,SONDERZAHLUNGEN!$B$9:$B$128,C249,SONDERZAHLUNGEN!$C$9:$C$128,A249,SONDERZAHLUNGEN!$H$9:$H$128,"OK",SONDERZAHLUNGEN!$F$9:$F$128,"Ja")))</x:f>
      </x:c>
      <x:c r="H249" s="88" t="str">
        <x:f>IF(C249="","",MIN(MAX(0,D249+E249-F249-G249),MAX(0,IF(MONATSBUDGET!$C$19="",0,MONATSBUDGET!$C$19)-SUM(F240:F259)-SUM(H240:H248))))</x:f>
      </x:c>
      <x:c r="I249" s="88" t="str">
        <x:f>IF(C249="","",MAX(0,ROUND(D249+E249-F249-G249-H249,2)))</x:f>
      </x:c>
      <x:c r="J249" s="88" t="str">
        <x:f>IF(C249="","",F249+G249+H249)</x:f>
      </x:c>
      <x:c r="K249" s="88" t="str">
        <x:f>IF(C249="","",MAX(0,SUMIFS(SONDERZAHLUNGEN!$E$9:$E$128,SONDERZAHLUNGEN!$B$9:$B$128,C249,SONDERZAHLUNGEN!$C$9:$C$128,A249,SONDERZAHLUNGEN!$H$9:$H$128,"OK",SONDERZAHLUNGEN!$F$9:$F$128,"Ja")-G249))</x:f>
      </x:c>
    </x:row>
    <x:row r="250" ht="19" customHeight="1">
      <x:c r="A250" s="90" t="n">
        <x:f>MONATSBUDGET!$A$19</x:f>
        <x:v>46569</x:v>
      </x:c>
      <x:c r="B250" t="n">
        <x:f>11</x:f>
        <x:v>11</x:v>
      </x:c>
      <x:c r="C250" t="str">
        <x:f>IF($N$19="","",$N$19)</x:f>
      </x:c>
      <x:c r="D250" s="88" t="str">
        <x:f>IF(C250="","",I230)</x:f>
      </x:c>
      <x:c r="E250" s="88" t="str">
        <x:f>IF(C250="","",ROUND(D250*$P$19/12,2))</x:f>
      </x:c>
      <x:c r="F250" s="88" t="str">
        <x:f>IF(C250="","",MIN(D250+E250,$Q$19))</x:f>
      </x:c>
      <x:c r="G250" s="88" t="str">
        <x:f>IF(C250="","",MIN(MAX(0,D250+E250-F250),SUMIFS(SONDERZAHLUNGEN!$E$9:$E$128,SONDERZAHLUNGEN!$B$9:$B$128,C250,SONDERZAHLUNGEN!$C$9:$C$128,A250,SONDERZAHLUNGEN!$H$9:$H$128,"OK",SONDERZAHLUNGEN!$F$9:$F$128,"Ja")))</x:f>
      </x:c>
      <x:c r="H250" s="88" t="str">
        <x:f>IF(C250="","",MIN(MAX(0,D250+E250-F250-G250),MAX(0,IF(MONATSBUDGET!$C$19="",0,MONATSBUDGET!$C$19)-SUM(F240:F259)-SUM(H240:H249))))</x:f>
      </x:c>
      <x:c r="I250" s="88" t="str">
        <x:f>IF(C250="","",MAX(0,ROUND(D250+E250-F250-G250-H250,2)))</x:f>
      </x:c>
      <x:c r="J250" s="88" t="str">
        <x:f>IF(C250="","",F250+G250+H250)</x:f>
      </x:c>
      <x:c r="K250" s="88" t="str">
        <x:f>IF(C250="","",MAX(0,SUMIFS(SONDERZAHLUNGEN!$E$9:$E$128,SONDERZAHLUNGEN!$B$9:$B$128,C250,SONDERZAHLUNGEN!$C$9:$C$128,A250,SONDERZAHLUNGEN!$H$9:$H$128,"OK",SONDERZAHLUNGEN!$F$9:$F$128,"Ja")-G250))</x:f>
      </x:c>
    </x:row>
    <x:row r="251" ht="19" customHeight="1">
      <x:c r="A251" s="90" t="n">
        <x:f>MONATSBUDGET!$A$19</x:f>
        <x:v>46569</x:v>
      </x:c>
      <x:c r="B251" t="n">
        <x:f>12</x:f>
        <x:v>12</x:v>
      </x:c>
      <x:c r="C251" t="str">
        <x:f>IF($N$20="","",$N$20)</x:f>
      </x:c>
      <x:c r="D251" s="88" t="str">
        <x:f>IF(C251="","",I231)</x:f>
      </x:c>
      <x:c r="E251" s="88" t="str">
        <x:f>IF(C251="","",ROUND(D251*$P$20/12,2))</x:f>
      </x:c>
      <x:c r="F251" s="88" t="str">
        <x:f>IF(C251="","",MIN(D251+E251,$Q$20))</x:f>
      </x:c>
      <x:c r="G251" s="88" t="str">
        <x:f>IF(C251="","",MIN(MAX(0,D251+E251-F251),SUMIFS(SONDERZAHLUNGEN!$E$9:$E$128,SONDERZAHLUNGEN!$B$9:$B$128,C251,SONDERZAHLUNGEN!$C$9:$C$128,A251,SONDERZAHLUNGEN!$H$9:$H$128,"OK",SONDERZAHLUNGEN!$F$9:$F$128,"Ja")))</x:f>
      </x:c>
      <x:c r="H251" s="88" t="str">
        <x:f>IF(C251="","",MIN(MAX(0,D251+E251-F251-G251),MAX(0,IF(MONATSBUDGET!$C$19="",0,MONATSBUDGET!$C$19)-SUM(F240:F259)-SUM(H240:H250))))</x:f>
      </x:c>
      <x:c r="I251" s="88" t="str">
        <x:f>IF(C251="","",MAX(0,ROUND(D251+E251-F251-G251-H251,2)))</x:f>
      </x:c>
      <x:c r="J251" s="88" t="str">
        <x:f>IF(C251="","",F251+G251+H251)</x:f>
      </x:c>
      <x:c r="K251" s="88" t="str">
        <x:f>IF(C251="","",MAX(0,SUMIFS(SONDERZAHLUNGEN!$E$9:$E$128,SONDERZAHLUNGEN!$B$9:$B$128,C251,SONDERZAHLUNGEN!$C$9:$C$128,A251,SONDERZAHLUNGEN!$H$9:$H$128,"OK",SONDERZAHLUNGEN!$F$9:$F$128,"Ja")-G251))</x:f>
      </x:c>
    </x:row>
    <x:row r="252" ht="19" customHeight="1">
      <x:c r="A252" s="90" t="n">
        <x:f>MONATSBUDGET!$A$19</x:f>
        <x:v>46569</x:v>
      </x:c>
      <x:c r="B252" t="n">
        <x:f>13</x:f>
        <x:v>13</x:v>
      </x:c>
      <x:c r="C252" t="str">
        <x:f>IF($N$21="","",$N$21)</x:f>
      </x:c>
      <x:c r="D252" s="88" t="str">
        <x:f>IF(C252="","",I232)</x:f>
      </x:c>
      <x:c r="E252" s="88" t="str">
        <x:f>IF(C252="","",ROUND(D252*$P$21/12,2))</x:f>
      </x:c>
      <x:c r="F252" s="88" t="str">
        <x:f>IF(C252="","",MIN(D252+E252,$Q$21))</x:f>
      </x:c>
      <x:c r="G252" s="88" t="str">
        <x:f>IF(C252="","",MIN(MAX(0,D252+E252-F252),SUMIFS(SONDERZAHLUNGEN!$E$9:$E$128,SONDERZAHLUNGEN!$B$9:$B$128,C252,SONDERZAHLUNGEN!$C$9:$C$128,A252,SONDERZAHLUNGEN!$H$9:$H$128,"OK",SONDERZAHLUNGEN!$F$9:$F$128,"Ja")))</x:f>
      </x:c>
      <x:c r="H252" s="88" t="str">
        <x:f>IF(C252="","",MIN(MAX(0,D252+E252-F252-G252),MAX(0,IF(MONATSBUDGET!$C$19="",0,MONATSBUDGET!$C$19)-SUM(F240:F259)-SUM(H240:H251))))</x:f>
      </x:c>
      <x:c r="I252" s="88" t="str">
        <x:f>IF(C252="","",MAX(0,ROUND(D252+E252-F252-G252-H252,2)))</x:f>
      </x:c>
      <x:c r="J252" s="88" t="str">
        <x:f>IF(C252="","",F252+G252+H252)</x:f>
      </x:c>
      <x:c r="K252" s="88" t="str">
        <x:f>IF(C252="","",MAX(0,SUMIFS(SONDERZAHLUNGEN!$E$9:$E$128,SONDERZAHLUNGEN!$B$9:$B$128,C252,SONDERZAHLUNGEN!$C$9:$C$128,A252,SONDERZAHLUNGEN!$H$9:$H$128,"OK",SONDERZAHLUNGEN!$F$9:$F$128,"Ja")-G252))</x:f>
      </x:c>
    </x:row>
    <x:row r="253" ht="19" customHeight="1">
      <x:c r="A253" s="90" t="n">
        <x:f>MONATSBUDGET!$A$19</x:f>
        <x:v>46569</x:v>
      </x:c>
      <x:c r="B253" t="n">
        <x:f>14</x:f>
        <x:v>14</x:v>
      </x:c>
      <x:c r="C253" t="str">
        <x:f>IF($N$22="","",$N$22)</x:f>
      </x:c>
      <x:c r="D253" s="88" t="str">
        <x:f>IF(C253="","",I233)</x:f>
      </x:c>
      <x:c r="E253" s="88" t="str">
        <x:f>IF(C253="","",ROUND(D253*$P$22/12,2))</x:f>
      </x:c>
      <x:c r="F253" s="88" t="str">
        <x:f>IF(C253="","",MIN(D253+E253,$Q$22))</x:f>
      </x:c>
      <x:c r="G253" s="88" t="str">
        <x:f>IF(C253="","",MIN(MAX(0,D253+E253-F253),SUMIFS(SONDERZAHLUNGEN!$E$9:$E$128,SONDERZAHLUNGEN!$B$9:$B$128,C253,SONDERZAHLUNGEN!$C$9:$C$128,A253,SONDERZAHLUNGEN!$H$9:$H$128,"OK",SONDERZAHLUNGEN!$F$9:$F$128,"Ja")))</x:f>
      </x:c>
      <x:c r="H253" s="88" t="str">
        <x:f>IF(C253="","",MIN(MAX(0,D253+E253-F253-G253),MAX(0,IF(MONATSBUDGET!$C$19="",0,MONATSBUDGET!$C$19)-SUM(F240:F259)-SUM(H240:H252))))</x:f>
      </x:c>
      <x:c r="I253" s="88" t="str">
        <x:f>IF(C253="","",MAX(0,ROUND(D253+E253-F253-G253-H253,2)))</x:f>
      </x:c>
      <x:c r="J253" s="88" t="str">
        <x:f>IF(C253="","",F253+G253+H253)</x:f>
      </x:c>
      <x:c r="K253" s="88" t="str">
        <x:f>IF(C253="","",MAX(0,SUMIFS(SONDERZAHLUNGEN!$E$9:$E$128,SONDERZAHLUNGEN!$B$9:$B$128,C253,SONDERZAHLUNGEN!$C$9:$C$128,A253,SONDERZAHLUNGEN!$H$9:$H$128,"OK",SONDERZAHLUNGEN!$F$9:$F$128,"Ja")-G253))</x:f>
      </x:c>
    </x:row>
    <x:row r="254" ht="19" customHeight="1">
      <x:c r="A254" s="90" t="n">
        <x:f>MONATSBUDGET!$A$19</x:f>
        <x:v>46569</x:v>
      </x:c>
      <x:c r="B254" t="n">
        <x:f>15</x:f>
        <x:v>15</x:v>
      </x:c>
      <x:c r="C254" t="str">
        <x:f>IF($N$23="","",$N$23)</x:f>
      </x:c>
      <x:c r="D254" s="88" t="str">
        <x:f>IF(C254="","",I234)</x:f>
      </x:c>
      <x:c r="E254" s="88" t="str">
        <x:f>IF(C254="","",ROUND(D254*$P$23/12,2))</x:f>
      </x:c>
      <x:c r="F254" s="88" t="str">
        <x:f>IF(C254="","",MIN(D254+E254,$Q$23))</x:f>
      </x:c>
      <x:c r="G254" s="88" t="str">
        <x:f>IF(C254="","",MIN(MAX(0,D254+E254-F254),SUMIFS(SONDERZAHLUNGEN!$E$9:$E$128,SONDERZAHLUNGEN!$B$9:$B$128,C254,SONDERZAHLUNGEN!$C$9:$C$128,A254,SONDERZAHLUNGEN!$H$9:$H$128,"OK",SONDERZAHLUNGEN!$F$9:$F$128,"Ja")))</x:f>
      </x:c>
      <x:c r="H254" s="88" t="str">
        <x:f>IF(C254="","",MIN(MAX(0,D254+E254-F254-G254),MAX(0,IF(MONATSBUDGET!$C$19="",0,MONATSBUDGET!$C$19)-SUM(F240:F259)-SUM(H240:H253))))</x:f>
      </x:c>
      <x:c r="I254" s="88" t="str">
        <x:f>IF(C254="","",MAX(0,ROUND(D254+E254-F254-G254-H254,2)))</x:f>
      </x:c>
      <x:c r="J254" s="88" t="str">
        <x:f>IF(C254="","",F254+G254+H254)</x:f>
      </x:c>
      <x:c r="K254" s="88" t="str">
        <x:f>IF(C254="","",MAX(0,SUMIFS(SONDERZAHLUNGEN!$E$9:$E$128,SONDERZAHLUNGEN!$B$9:$B$128,C254,SONDERZAHLUNGEN!$C$9:$C$128,A254,SONDERZAHLUNGEN!$H$9:$H$128,"OK",SONDERZAHLUNGEN!$F$9:$F$128,"Ja")-G254))</x:f>
      </x:c>
    </x:row>
    <x:row r="255" ht="19" customHeight="1">
      <x:c r="A255" s="90" t="n">
        <x:f>MONATSBUDGET!$A$19</x:f>
        <x:v>46569</x:v>
      </x:c>
      <x:c r="B255" t="n">
        <x:f>16</x:f>
        <x:v>16</x:v>
      </x:c>
      <x:c r="C255" t="str">
        <x:f>IF($N$24="","",$N$24)</x:f>
      </x:c>
      <x:c r="D255" s="88" t="str">
        <x:f>IF(C255="","",I235)</x:f>
      </x:c>
      <x:c r="E255" s="88" t="str">
        <x:f>IF(C255="","",ROUND(D255*$P$24/12,2))</x:f>
      </x:c>
      <x:c r="F255" s="88" t="str">
        <x:f>IF(C255="","",MIN(D255+E255,$Q$24))</x:f>
      </x:c>
      <x:c r="G255" s="88" t="str">
        <x:f>IF(C255="","",MIN(MAX(0,D255+E255-F255),SUMIFS(SONDERZAHLUNGEN!$E$9:$E$128,SONDERZAHLUNGEN!$B$9:$B$128,C255,SONDERZAHLUNGEN!$C$9:$C$128,A255,SONDERZAHLUNGEN!$H$9:$H$128,"OK",SONDERZAHLUNGEN!$F$9:$F$128,"Ja")))</x:f>
      </x:c>
      <x:c r="H255" s="88" t="str">
        <x:f>IF(C255="","",MIN(MAX(0,D255+E255-F255-G255),MAX(0,IF(MONATSBUDGET!$C$19="",0,MONATSBUDGET!$C$19)-SUM(F240:F259)-SUM(H240:H254))))</x:f>
      </x:c>
      <x:c r="I255" s="88" t="str">
        <x:f>IF(C255="","",MAX(0,ROUND(D255+E255-F255-G255-H255,2)))</x:f>
      </x:c>
      <x:c r="J255" s="88" t="str">
        <x:f>IF(C255="","",F255+G255+H255)</x:f>
      </x:c>
      <x:c r="K255" s="88" t="str">
        <x:f>IF(C255="","",MAX(0,SUMIFS(SONDERZAHLUNGEN!$E$9:$E$128,SONDERZAHLUNGEN!$B$9:$B$128,C255,SONDERZAHLUNGEN!$C$9:$C$128,A255,SONDERZAHLUNGEN!$H$9:$H$128,"OK",SONDERZAHLUNGEN!$F$9:$F$128,"Ja")-G255))</x:f>
      </x:c>
    </x:row>
    <x:row r="256" ht="19" customHeight="1">
      <x:c r="A256" s="90" t="n">
        <x:f>MONATSBUDGET!$A$19</x:f>
        <x:v>46569</x:v>
      </x:c>
      <x:c r="B256" t="n">
        <x:f>17</x:f>
        <x:v>17</x:v>
      </x:c>
      <x:c r="C256" t="str">
        <x:f>IF($N$25="","",$N$25)</x:f>
      </x:c>
      <x:c r="D256" s="88" t="str">
        <x:f>IF(C256="","",I236)</x:f>
      </x:c>
      <x:c r="E256" s="88" t="str">
        <x:f>IF(C256="","",ROUND(D256*$P$25/12,2))</x:f>
      </x:c>
      <x:c r="F256" s="88" t="str">
        <x:f>IF(C256="","",MIN(D256+E256,$Q$25))</x:f>
      </x:c>
      <x:c r="G256" s="88" t="str">
        <x:f>IF(C256="","",MIN(MAX(0,D256+E256-F256),SUMIFS(SONDERZAHLUNGEN!$E$9:$E$128,SONDERZAHLUNGEN!$B$9:$B$128,C256,SONDERZAHLUNGEN!$C$9:$C$128,A256,SONDERZAHLUNGEN!$H$9:$H$128,"OK",SONDERZAHLUNGEN!$F$9:$F$128,"Ja")))</x:f>
      </x:c>
      <x:c r="H256" s="88" t="str">
        <x:f>IF(C256="","",MIN(MAX(0,D256+E256-F256-G256),MAX(0,IF(MONATSBUDGET!$C$19="",0,MONATSBUDGET!$C$19)-SUM(F240:F259)-SUM(H240:H255))))</x:f>
      </x:c>
      <x:c r="I256" s="88" t="str">
        <x:f>IF(C256="","",MAX(0,ROUND(D256+E256-F256-G256-H256,2)))</x:f>
      </x:c>
      <x:c r="J256" s="88" t="str">
        <x:f>IF(C256="","",F256+G256+H256)</x:f>
      </x:c>
      <x:c r="K256" s="88" t="str">
        <x:f>IF(C256="","",MAX(0,SUMIFS(SONDERZAHLUNGEN!$E$9:$E$128,SONDERZAHLUNGEN!$B$9:$B$128,C256,SONDERZAHLUNGEN!$C$9:$C$128,A256,SONDERZAHLUNGEN!$H$9:$H$128,"OK",SONDERZAHLUNGEN!$F$9:$F$128,"Ja")-G256))</x:f>
      </x:c>
    </x:row>
    <x:row r="257" ht="19" customHeight="1">
      <x:c r="A257" s="90" t="n">
        <x:f>MONATSBUDGET!$A$19</x:f>
        <x:v>46569</x:v>
      </x:c>
      <x:c r="B257" t="n">
        <x:f>18</x:f>
        <x:v>18</x:v>
      </x:c>
      <x:c r="C257" t="str">
        <x:f>IF($N$26="","",$N$26)</x:f>
      </x:c>
      <x:c r="D257" s="88" t="str">
        <x:f>IF(C257="","",I237)</x:f>
      </x:c>
      <x:c r="E257" s="88" t="str">
        <x:f>IF(C257="","",ROUND(D257*$P$26/12,2))</x:f>
      </x:c>
      <x:c r="F257" s="88" t="str">
        <x:f>IF(C257="","",MIN(D257+E257,$Q$26))</x:f>
      </x:c>
      <x:c r="G257" s="88" t="str">
        <x:f>IF(C257="","",MIN(MAX(0,D257+E257-F257),SUMIFS(SONDERZAHLUNGEN!$E$9:$E$128,SONDERZAHLUNGEN!$B$9:$B$128,C257,SONDERZAHLUNGEN!$C$9:$C$128,A257,SONDERZAHLUNGEN!$H$9:$H$128,"OK",SONDERZAHLUNGEN!$F$9:$F$128,"Ja")))</x:f>
      </x:c>
      <x:c r="H257" s="88" t="str">
        <x:f>IF(C257="","",MIN(MAX(0,D257+E257-F257-G257),MAX(0,IF(MONATSBUDGET!$C$19="",0,MONATSBUDGET!$C$19)-SUM(F240:F259)-SUM(H240:H256))))</x:f>
      </x:c>
      <x:c r="I257" s="88" t="str">
        <x:f>IF(C257="","",MAX(0,ROUND(D257+E257-F257-G257-H257,2)))</x:f>
      </x:c>
      <x:c r="J257" s="88" t="str">
        <x:f>IF(C257="","",F257+G257+H257)</x:f>
      </x:c>
      <x:c r="K257" s="88" t="str">
        <x:f>IF(C257="","",MAX(0,SUMIFS(SONDERZAHLUNGEN!$E$9:$E$128,SONDERZAHLUNGEN!$B$9:$B$128,C257,SONDERZAHLUNGEN!$C$9:$C$128,A257,SONDERZAHLUNGEN!$H$9:$H$128,"OK",SONDERZAHLUNGEN!$F$9:$F$128,"Ja")-G257))</x:f>
      </x:c>
    </x:row>
    <x:row r="258" ht="19" customHeight="1">
      <x:c r="A258" s="90" t="n">
        <x:f>MONATSBUDGET!$A$19</x:f>
        <x:v>46569</x:v>
      </x:c>
      <x:c r="B258" t="n">
        <x:f>19</x:f>
        <x:v>19</x:v>
      </x:c>
      <x:c r="C258" t="str">
        <x:f>IF($N$27="","",$N$27)</x:f>
      </x:c>
      <x:c r="D258" s="88" t="str">
        <x:f>IF(C258="","",I238)</x:f>
      </x:c>
      <x:c r="E258" s="88" t="str">
        <x:f>IF(C258="","",ROUND(D258*$P$27/12,2))</x:f>
      </x:c>
      <x:c r="F258" s="88" t="str">
        <x:f>IF(C258="","",MIN(D258+E258,$Q$27))</x:f>
      </x:c>
      <x:c r="G258" s="88" t="str">
        <x:f>IF(C258="","",MIN(MAX(0,D258+E258-F258),SUMIFS(SONDERZAHLUNGEN!$E$9:$E$128,SONDERZAHLUNGEN!$B$9:$B$128,C258,SONDERZAHLUNGEN!$C$9:$C$128,A258,SONDERZAHLUNGEN!$H$9:$H$128,"OK",SONDERZAHLUNGEN!$F$9:$F$128,"Ja")))</x:f>
      </x:c>
      <x:c r="H258" s="88" t="str">
        <x:f>IF(C258="","",MIN(MAX(0,D258+E258-F258-G258),MAX(0,IF(MONATSBUDGET!$C$19="",0,MONATSBUDGET!$C$19)-SUM(F240:F259)-SUM(H240:H257))))</x:f>
      </x:c>
      <x:c r="I258" s="88" t="str">
        <x:f>IF(C258="","",MAX(0,ROUND(D258+E258-F258-G258-H258,2)))</x:f>
      </x:c>
      <x:c r="J258" s="88" t="str">
        <x:f>IF(C258="","",F258+G258+H258)</x:f>
      </x:c>
      <x:c r="K258" s="88" t="str">
        <x:f>IF(C258="","",MAX(0,SUMIFS(SONDERZAHLUNGEN!$E$9:$E$128,SONDERZAHLUNGEN!$B$9:$B$128,C258,SONDERZAHLUNGEN!$C$9:$C$128,A258,SONDERZAHLUNGEN!$H$9:$H$128,"OK",SONDERZAHLUNGEN!$F$9:$F$128,"Ja")-G258))</x:f>
      </x:c>
    </x:row>
    <x:row r="259" ht="19" customHeight="1">
      <x:c r="A259" s="90" t="n">
        <x:f>MONATSBUDGET!$A$19</x:f>
        <x:v>46569</x:v>
      </x:c>
      <x:c r="B259" t="n">
        <x:f>20</x:f>
        <x:v>20</x:v>
      </x:c>
      <x:c r="C259" t="str">
        <x:f>IF($N$28="","",$N$28)</x:f>
      </x:c>
      <x:c r="D259" s="88" t="str">
        <x:f>IF(C259="","",I239)</x:f>
      </x:c>
      <x:c r="E259" s="88" t="str">
        <x:f>IF(C259="","",ROUND(D259*$P$28/12,2))</x:f>
      </x:c>
      <x:c r="F259" s="88" t="str">
        <x:f>IF(C259="","",MIN(D259+E259,$Q$28))</x:f>
      </x:c>
      <x:c r="G259" s="88" t="str">
        <x:f>IF(C259="","",MIN(MAX(0,D259+E259-F259),SUMIFS(SONDERZAHLUNGEN!$E$9:$E$128,SONDERZAHLUNGEN!$B$9:$B$128,C259,SONDERZAHLUNGEN!$C$9:$C$128,A259,SONDERZAHLUNGEN!$H$9:$H$128,"OK",SONDERZAHLUNGEN!$F$9:$F$128,"Ja")))</x:f>
      </x:c>
      <x:c r="H259" s="88" t="str">
        <x:f>IF(C259="","",MIN(MAX(0,D259+E259-F259-G259),MAX(0,IF(MONATSBUDGET!$C$19="",0,MONATSBUDGET!$C$19)-SUM(F240:F259)-SUM(H240:H258))))</x:f>
      </x:c>
      <x:c r="I259" s="88" t="str">
        <x:f>IF(C259="","",MAX(0,ROUND(D259+E259-F259-G259-H259,2)))</x:f>
      </x:c>
      <x:c r="J259" s="88" t="str">
        <x:f>IF(C259="","",F259+G259+H259)</x:f>
      </x:c>
      <x:c r="K259" s="88" t="str">
        <x:f>IF(C259="","",MAX(0,SUMIFS(SONDERZAHLUNGEN!$E$9:$E$128,SONDERZAHLUNGEN!$B$9:$B$128,C259,SONDERZAHLUNGEN!$C$9:$C$128,A259,SONDERZAHLUNGEN!$H$9:$H$128,"OK",SONDERZAHLUNGEN!$F$9:$F$128,"Ja")-G259))</x:f>
      </x:c>
    </x:row>
    <x:row r="260" ht="19" customHeight="1">
      <x:c r="A260" s="90" t="n">
        <x:f>MONATSBUDGET!$A$20</x:f>
        <x:v>46600</x:v>
      </x:c>
      <x:c r="B260" t="n">
        <x:f>1</x:f>
        <x:v>1</x:v>
      </x:c>
      <x:c r="C260" t="str">
        <x:f>IF($N$9="","",$N$9)</x:f>
      </x:c>
      <x:c r="D260" s="88" t="str">
        <x:f>IF(C260="","",I240)</x:f>
      </x:c>
      <x:c r="E260" s="88" t="str">
        <x:f>IF(C260="","",ROUND(D260*$P$9/12,2))</x:f>
      </x:c>
      <x:c r="F260" s="88" t="str">
        <x:f>IF(C260="","",MIN(D260+E260,$Q$9))</x:f>
      </x:c>
      <x:c r="G260" s="88" t="str">
        <x:f>IF(C260="","",MIN(MAX(0,D260+E260-F260),SUMIFS(SONDERZAHLUNGEN!$E$9:$E$128,SONDERZAHLUNGEN!$B$9:$B$128,C260,SONDERZAHLUNGEN!$C$9:$C$128,A260,SONDERZAHLUNGEN!$H$9:$H$128,"OK",SONDERZAHLUNGEN!$F$9:$F$128,"Ja")))</x:f>
      </x:c>
      <x:c r="H260" s="88" t="str">
        <x:f>IF(C260="","",MIN(MAX(0,D260+E260-F260-G260),MAX(0,IF(MONATSBUDGET!$C$20="",0,MONATSBUDGET!$C$20)-SUM(F260:F279)-0)))</x:f>
      </x:c>
      <x:c r="I260" s="88" t="str">
        <x:f>IF(C260="","",MAX(0,ROUND(D260+E260-F260-G260-H260,2)))</x:f>
      </x:c>
      <x:c r="J260" s="88" t="str">
        <x:f>IF(C260="","",F260+G260+H260)</x:f>
      </x:c>
      <x:c r="K260" s="88" t="str">
        <x:f>IF(C260="","",MAX(0,SUMIFS(SONDERZAHLUNGEN!$E$9:$E$128,SONDERZAHLUNGEN!$B$9:$B$128,C260,SONDERZAHLUNGEN!$C$9:$C$128,A260,SONDERZAHLUNGEN!$H$9:$H$128,"OK",SONDERZAHLUNGEN!$F$9:$F$128,"Ja")-G260))</x:f>
      </x:c>
    </x:row>
    <x:row r="261" ht="19" customHeight="1">
      <x:c r="A261" s="90" t="n">
        <x:f>MONATSBUDGET!$A$20</x:f>
        <x:v>46600</x:v>
      </x:c>
      <x:c r="B261" t="n">
        <x:f>2</x:f>
        <x:v>2</x:v>
      </x:c>
      <x:c r="C261" t="str">
        <x:f>IF($N$10="","",$N$10)</x:f>
      </x:c>
      <x:c r="D261" s="88" t="str">
        <x:f>IF(C261="","",I241)</x:f>
      </x:c>
      <x:c r="E261" s="88" t="str">
        <x:f>IF(C261="","",ROUND(D261*$P$10/12,2))</x:f>
      </x:c>
      <x:c r="F261" s="88" t="str">
        <x:f>IF(C261="","",MIN(D261+E261,$Q$10))</x:f>
      </x:c>
      <x:c r="G261" s="88" t="str">
        <x:f>IF(C261="","",MIN(MAX(0,D261+E261-F261),SUMIFS(SONDERZAHLUNGEN!$E$9:$E$128,SONDERZAHLUNGEN!$B$9:$B$128,C261,SONDERZAHLUNGEN!$C$9:$C$128,A261,SONDERZAHLUNGEN!$H$9:$H$128,"OK",SONDERZAHLUNGEN!$F$9:$F$128,"Ja")))</x:f>
      </x:c>
      <x:c r="H261" s="88" t="str">
        <x:f>IF(C261="","",MIN(MAX(0,D261+E261-F261-G261),MAX(0,IF(MONATSBUDGET!$C$20="",0,MONATSBUDGET!$C$20)-SUM(F260:F279)-SUM(H260:H260))))</x:f>
      </x:c>
      <x:c r="I261" s="88" t="str">
        <x:f>IF(C261="","",MAX(0,ROUND(D261+E261-F261-G261-H261,2)))</x:f>
      </x:c>
      <x:c r="J261" s="88" t="str">
        <x:f>IF(C261="","",F261+G261+H261)</x:f>
      </x:c>
      <x:c r="K261" s="88" t="str">
        <x:f>IF(C261="","",MAX(0,SUMIFS(SONDERZAHLUNGEN!$E$9:$E$128,SONDERZAHLUNGEN!$B$9:$B$128,C261,SONDERZAHLUNGEN!$C$9:$C$128,A261,SONDERZAHLUNGEN!$H$9:$H$128,"OK",SONDERZAHLUNGEN!$F$9:$F$128,"Ja")-G261))</x:f>
      </x:c>
    </x:row>
    <x:row r="262" ht="19" customHeight="1">
      <x:c r="A262" s="90" t="n">
        <x:f>MONATSBUDGET!$A$20</x:f>
        <x:v>46600</x:v>
      </x:c>
      <x:c r="B262" t="n">
        <x:f>3</x:f>
        <x:v>3</x:v>
      </x:c>
      <x:c r="C262" t="str">
        <x:f>IF($N$11="","",$N$11)</x:f>
      </x:c>
      <x:c r="D262" s="88" t="str">
        <x:f>IF(C262="","",I242)</x:f>
      </x:c>
      <x:c r="E262" s="88" t="str">
        <x:f>IF(C262="","",ROUND(D262*$P$11/12,2))</x:f>
      </x:c>
      <x:c r="F262" s="88" t="str">
        <x:f>IF(C262="","",MIN(D262+E262,$Q$11))</x:f>
      </x:c>
      <x:c r="G262" s="88" t="str">
        <x:f>IF(C262="","",MIN(MAX(0,D262+E262-F262),SUMIFS(SONDERZAHLUNGEN!$E$9:$E$128,SONDERZAHLUNGEN!$B$9:$B$128,C262,SONDERZAHLUNGEN!$C$9:$C$128,A262,SONDERZAHLUNGEN!$H$9:$H$128,"OK",SONDERZAHLUNGEN!$F$9:$F$128,"Ja")))</x:f>
      </x:c>
      <x:c r="H262" s="88" t="str">
        <x:f>IF(C262="","",MIN(MAX(0,D262+E262-F262-G262),MAX(0,IF(MONATSBUDGET!$C$20="",0,MONATSBUDGET!$C$20)-SUM(F260:F279)-SUM(H260:H261))))</x:f>
      </x:c>
      <x:c r="I262" s="88" t="str">
        <x:f>IF(C262="","",MAX(0,ROUND(D262+E262-F262-G262-H262,2)))</x:f>
      </x:c>
      <x:c r="J262" s="88" t="str">
        <x:f>IF(C262="","",F262+G262+H262)</x:f>
      </x:c>
      <x:c r="K262" s="88" t="str">
        <x:f>IF(C262="","",MAX(0,SUMIFS(SONDERZAHLUNGEN!$E$9:$E$128,SONDERZAHLUNGEN!$B$9:$B$128,C262,SONDERZAHLUNGEN!$C$9:$C$128,A262,SONDERZAHLUNGEN!$H$9:$H$128,"OK",SONDERZAHLUNGEN!$F$9:$F$128,"Ja")-G262))</x:f>
      </x:c>
    </x:row>
    <x:row r="263" ht="19" customHeight="1">
      <x:c r="A263" s="90" t="n">
        <x:f>MONATSBUDGET!$A$20</x:f>
        <x:v>46600</x:v>
      </x:c>
      <x:c r="B263" t="n">
        <x:f>4</x:f>
        <x:v>4</x:v>
      </x:c>
      <x:c r="C263" t="str">
        <x:f>IF($N$12="","",$N$12)</x:f>
      </x:c>
      <x:c r="D263" s="88" t="str">
        <x:f>IF(C263="","",I243)</x:f>
      </x:c>
      <x:c r="E263" s="88" t="str">
        <x:f>IF(C263="","",ROUND(D263*$P$12/12,2))</x:f>
      </x:c>
      <x:c r="F263" s="88" t="str">
        <x:f>IF(C263="","",MIN(D263+E263,$Q$12))</x:f>
      </x:c>
      <x:c r="G263" s="88" t="str">
        <x:f>IF(C263="","",MIN(MAX(0,D263+E263-F263),SUMIFS(SONDERZAHLUNGEN!$E$9:$E$128,SONDERZAHLUNGEN!$B$9:$B$128,C263,SONDERZAHLUNGEN!$C$9:$C$128,A263,SONDERZAHLUNGEN!$H$9:$H$128,"OK",SONDERZAHLUNGEN!$F$9:$F$128,"Ja")))</x:f>
      </x:c>
      <x:c r="H263" s="88" t="str">
        <x:f>IF(C263="","",MIN(MAX(0,D263+E263-F263-G263),MAX(0,IF(MONATSBUDGET!$C$20="",0,MONATSBUDGET!$C$20)-SUM(F260:F279)-SUM(H260:H262))))</x:f>
      </x:c>
      <x:c r="I263" s="88" t="str">
        <x:f>IF(C263="","",MAX(0,ROUND(D263+E263-F263-G263-H263,2)))</x:f>
      </x:c>
      <x:c r="J263" s="88" t="str">
        <x:f>IF(C263="","",F263+G263+H263)</x:f>
      </x:c>
      <x:c r="K263" s="88" t="str">
        <x:f>IF(C263="","",MAX(0,SUMIFS(SONDERZAHLUNGEN!$E$9:$E$128,SONDERZAHLUNGEN!$B$9:$B$128,C263,SONDERZAHLUNGEN!$C$9:$C$128,A263,SONDERZAHLUNGEN!$H$9:$H$128,"OK",SONDERZAHLUNGEN!$F$9:$F$128,"Ja")-G263))</x:f>
      </x:c>
    </x:row>
    <x:row r="264" ht="19" customHeight="1">
      <x:c r="A264" s="90" t="n">
        <x:f>MONATSBUDGET!$A$20</x:f>
        <x:v>46600</x:v>
      </x:c>
      <x:c r="B264" t="n">
        <x:f>5</x:f>
        <x:v>5</x:v>
      </x:c>
      <x:c r="C264" t="str">
        <x:f>IF($N$13="","",$N$13)</x:f>
      </x:c>
      <x:c r="D264" s="88" t="str">
        <x:f>IF(C264="","",I244)</x:f>
      </x:c>
      <x:c r="E264" s="88" t="str">
        <x:f>IF(C264="","",ROUND(D264*$P$13/12,2))</x:f>
      </x:c>
      <x:c r="F264" s="88" t="str">
        <x:f>IF(C264="","",MIN(D264+E264,$Q$13))</x:f>
      </x:c>
      <x:c r="G264" s="88" t="str">
        <x:f>IF(C264="","",MIN(MAX(0,D264+E264-F264),SUMIFS(SONDERZAHLUNGEN!$E$9:$E$128,SONDERZAHLUNGEN!$B$9:$B$128,C264,SONDERZAHLUNGEN!$C$9:$C$128,A264,SONDERZAHLUNGEN!$H$9:$H$128,"OK",SONDERZAHLUNGEN!$F$9:$F$128,"Ja")))</x:f>
      </x:c>
      <x:c r="H264" s="88" t="str">
        <x:f>IF(C264="","",MIN(MAX(0,D264+E264-F264-G264),MAX(0,IF(MONATSBUDGET!$C$20="",0,MONATSBUDGET!$C$20)-SUM(F260:F279)-SUM(H260:H263))))</x:f>
      </x:c>
      <x:c r="I264" s="88" t="str">
        <x:f>IF(C264="","",MAX(0,ROUND(D264+E264-F264-G264-H264,2)))</x:f>
      </x:c>
      <x:c r="J264" s="88" t="str">
        <x:f>IF(C264="","",F264+G264+H264)</x:f>
      </x:c>
      <x:c r="K264" s="88" t="str">
        <x:f>IF(C264="","",MAX(0,SUMIFS(SONDERZAHLUNGEN!$E$9:$E$128,SONDERZAHLUNGEN!$B$9:$B$128,C264,SONDERZAHLUNGEN!$C$9:$C$128,A264,SONDERZAHLUNGEN!$H$9:$H$128,"OK",SONDERZAHLUNGEN!$F$9:$F$128,"Ja")-G264))</x:f>
      </x:c>
    </x:row>
    <x:row r="265" ht="19" customHeight="1">
      <x:c r="A265" s="90" t="n">
        <x:f>MONATSBUDGET!$A$20</x:f>
        <x:v>46600</x:v>
      </x:c>
      <x:c r="B265" t="n">
        <x:f>6</x:f>
        <x:v>6</x:v>
      </x:c>
      <x:c r="C265" t="str">
        <x:f>IF($N$14="","",$N$14)</x:f>
      </x:c>
      <x:c r="D265" s="88" t="str">
        <x:f>IF(C265="","",I245)</x:f>
      </x:c>
      <x:c r="E265" s="88" t="str">
        <x:f>IF(C265="","",ROUND(D265*$P$14/12,2))</x:f>
      </x:c>
      <x:c r="F265" s="88" t="str">
        <x:f>IF(C265="","",MIN(D265+E265,$Q$14))</x:f>
      </x:c>
      <x:c r="G265" s="88" t="str">
        <x:f>IF(C265="","",MIN(MAX(0,D265+E265-F265),SUMIFS(SONDERZAHLUNGEN!$E$9:$E$128,SONDERZAHLUNGEN!$B$9:$B$128,C265,SONDERZAHLUNGEN!$C$9:$C$128,A265,SONDERZAHLUNGEN!$H$9:$H$128,"OK",SONDERZAHLUNGEN!$F$9:$F$128,"Ja")))</x:f>
      </x:c>
      <x:c r="H265" s="88" t="str">
        <x:f>IF(C265="","",MIN(MAX(0,D265+E265-F265-G265),MAX(0,IF(MONATSBUDGET!$C$20="",0,MONATSBUDGET!$C$20)-SUM(F260:F279)-SUM(H260:H264))))</x:f>
      </x:c>
      <x:c r="I265" s="88" t="str">
        <x:f>IF(C265="","",MAX(0,ROUND(D265+E265-F265-G265-H265,2)))</x:f>
      </x:c>
      <x:c r="J265" s="88" t="str">
        <x:f>IF(C265="","",F265+G265+H265)</x:f>
      </x:c>
      <x:c r="K265" s="88" t="str">
        <x:f>IF(C265="","",MAX(0,SUMIFS(SONDERZAHLUNGEN!$E$9:$E$128,SONDERZAHLUNGEN!$B$9:$B$128,C265,SONDERZAHLUNGEN!$C$9:$C$128,A265,SONDERZAHLUNGEN!$H$9:$H$128,"OK",SONDERZAHLUNGEN!$F$9:$F$128,"Ja")-G265))</x:f>
      </x:c>
    </x:row>
    <x:row r="266" ht="19" customHeight="1">
      <x:c r="A266" s="90" t="n">
        <x:f>MONATSBUDGET!$A$20</x:f>
        <x:v>46600</x:v>
      </x:c>
      <x:c r="B266" t="n">
        <x:f>7</x:f>
        <x:v>7</x:v>
      </x:c>
      <x:c r="C266" t="str">
        <x:f>IF($N$15="","",$N$15)</x:f>
      </x:c>
      <x:c r="D266" s="88" t="str">
        <x:f>IF(C266="","",I246)</x:f>
      </x:c>
      <x:c r="E266" s="88" t="str">
        <x:f>IF(C266="","",ROUND(D266*$P$15/12,2))</x:f>
      </x:c>
      <x:c r="F266" s="88" t="str">
        <x:f>IF(C266="","",MIN(D266+E266,$Q$15))</x:f>
      </x:c>
      <x:c r="G266" s="88" t="str">
        <x:f>IF(C266="","",MIN(MAX(0,D266+E266-F266),SUMIFS(SONDERZAHLUNGEN!$E$9:$E$128,SONDERZAHLUNGEN!$B$9:$B$128,C266,SONDERZAHLUNGEN!$C$9:$C$128,A266,SONDERZAHLUNGEN!$H$9:$H$128,"OK",SONDERZAHLUNGEN!$F$9:$F$128,"Ja")))</x:f>
      </x:c>
      <x:c r="H266" s="88" t="str">
        <x:f>IF(C266="","",MIN(MAX(0,D266+E266-F266-G266),MAX(0,IF(MONATSBUDGET!$C$20="",0,MONATSBUDGET!$C$20)-SUM(F260:F279)-SUM(H260:H265))))</x:f>
      </x:c>
      <x:c r="I266" s="88" t="str">
        <x:f>IF(C266="","",MAX(0,ROUND(D266+E266-F266-G266-H266,2)))</x:f>
      </x:c>
      <x:c r="J266" s="88" t="str">
        <x:f>IF(C266="","",F266+G266+H266)</x:f>
      </x:c>
      <x:c r="K266" s="88" t="str">
        <x:f>IF(C266="","",MAX(0,SUMIFS(SONDERZAHLUNGEN!$E$9:$E$128,SONDERZAHLUNGEN!$B$9:$B$128,C266,SONDERZAHLUNGEN!$C$9:$C$128,A266,SONDERZAHLUNGEN!$H$9:$H$128,"OK",SONDERZAHLUNGEN!$F$9:$F$128,"Ja")-G266))</x:f>
      </x:c>
    </x:row>
    <x:row r="267" ht="19" customHeight="1">
      <x:c r="A267" s="90" t="n">
        <x:f>MONATSBUDGET!$A$20</x:f>
        <x:v>46600</x:v>
      </x:c>
      <x:c r="B267" t="n">
        <x:f>8</x:f>
        <x:v>8</x:v>
      </x:c>
      <x:c r="C267" t="str">
        <x:f>IF($N$16="","",$N$16)</x:f>
      </x:c>
      <x:c r="D267" s="88" t="str">
        <x:f>IF(C267="","",I247)</x:f>
      </x:c>
      <x:c r="E267" s="88" t="str">
        <x:f>IF(C267="","",ROUND(D267*$P$16/12,2))</x:f>
      </x:c>
      <x:c r="F267" s="88" t="str">
        <x:f>IF(C267="","",MIN(D267+E267,$Q$16))</x:f>
      </x:c>
      <x:c r="G267" s="88" t="str">
        <x:f>IF(C267="","",MIN(MAX(0,D267+E267-F267),SUMIFS(SONDERZAHLUNGEN!$E$9:$E$128,SONDERZAHLUNGEN!$B$9:$B$128,C267,SONDERZAHLUNGEN!$C$9:$C$128,A267,SONDERZAHLUNGEN!$H$9:$H$128,"OK",SONDERZAHLUNGEN!$F$9:$F$128,"Ja")))</x:f>
      </x:c>
      <x:c r="H267" s="88" t="str">
        <x:f>IF(C267="","",MIN(MAX(0,D267+E267-F267-G267),MAX(0,IF(MONATSBUDGET!$C$20="",0,MONATSBUDGET!$C$20)-SUM(F260:F279)-SUM(H260:H266))))</x:f>
      </x:c>
      <x:c r="I267" s="88" t="str">
        <x:f>IF(C267="","",MAX(0,ROUND(D267+E267-F267-G267-H267,2)))</x:f>
      </x:c>
      <x:c r="J267" s="88" t="str">
        <x:f>IF(C267="","",F267+G267+H267)</x:f>
      </x:c>
      <x:c r="K267" s="88" t="str">
        <x:f>IF(C267="","",MAX(0,SUMIFS(SONDERZAHLUNGEN!$E$9:$E$128,SONDERZAHLUNGEN!$B$9:$B$128,C267,SONDERZAHLUNGEN!$C$9:$C$128,A267,SONDERZAHLUNGEN!$H$9:$H$128,"OK",SONDERZAHLUNGEN!$F$9:$F$128,"Ja")-G267))</x:f>
      </x:c>
    </x:row>
    <x:row r="268" ht="19" customHeight="1">
      <x:c r="A268" s="90" t="n">
        <x:f>MONATSBUDGET!$A$20</x:f>
        <x:v>46600</x:v>
      </x:c>
      <x:c r="B268" t="n">
        <x:f>9</x:f>
        <x:v>9</x:v>
      </x:c>
      <x:c r="C268" t="str">
        <x:f>IF($N$17="","",$N$17)</x:f>
      </x:c>
      <x:c r="D268" s="88" t="str">
        <x:f>IF(C268="","",I248)</x:f>
      </x:c>
      <x:c r="E268" s="88" t="str">
        <x:f>IF(C268="","",ROUND(D268*$P$17/12,2))</x:f>
      </x:c>
      <x:c r="F268" s="88" t="str">
        <x:f>IF(C268="","",MIN(D268+E268,$Q$17))</x:f>
      </x:c>
      <x:c r="G268" s="88" t="str">
        <x:f>IF(C268="","",MIN(MAX(0,D268+E268-F268),SUMIFS(SONDERZAHLUNGEN!$E$9:$E$128,SONDERZAHLUNGEN!$B$9:$B$128,C268,SONDERZAHLUNGEN!$C$9:$C$128,A268,SONDERZAHLUNGEN!$H$9:$H$128,"OK",SONDERZAHLUNGEN!$F$9:$F$128,"Ja")))</x:f>
      </x:c>
      <x:c r="H268" s="88" t="str">
        <x:f>IF(C268="","",MIN(MAX(0,D268+E268-F268-G268),MAX(0,IF(MONATSBUDGET!$C$20="",0,MONATSBUDGET!$C$20)-SUM(F260:F279)-SUM(H260:H267))))</x:f>
      </x:c>
      <x:c r="I268" s="88" t="str">
        <x:f>IF(C268="","",MAX(0,ROUND(D268+E268-F268-G268-H268,2)))</x:f>
      </x:c>
      <x:c r="J268" s="88" t="str">
        <x:f>IF(C268="","",F268+G268+H268)</x:f>
      </x:c>
      <x:c r="K268" s="88" t="str">
        <x:f>IF(C268="","",MAX(0,SUMIFS(SONDERZAHLUNGEN!$E$9:$E$128,SONDERZAHLUNGEN!$B$9:$B$128,C268,SONDERZAHLUNGEN!$C$9:$C$128,A268,SONDERZAHLUNGEN!$H$9:$H$128,"OK",SONDERZAHLUNGEN!$F$9:$F$128,"Ja")-G268))</x:f>
      </x:c>
    </x:row>
    <x:row r="269" ht="19" customHeight="1">
      <x:c r="A269" s="90" t="n">
        <x:f>MONATSBUDGET!$A$20</x:f>
        <x:v>46600</x:v>
      </x:c>
      <x:c r="B269" t="n">
        <x:f>10</x:f>
        <x:v>10</x:v>
      </x:c>
      <x:c r="C269" t="str">
        <x:f>IF($N$18="","",$N$18)</x:f>
      </x:c>
      <x:c r="D269" s="88" t="str">
        <x:f>IF(C269="","",I249)</x:f>
      </x:c>
      <x:c r="E269" s="88" t="str">
        <x:f>IF(C269="","",ROUND(D269*$P$18/12,2))</x:f>
      </x:c>
      <x:c r="F269" s="88" t="str">
        <x:f>IF(C269="","",MIN(D269+E269,$Q$18))</x:f>
      </x:c>
      <x:c r="G269" s="88" t="str">
        <x:f>IF(C269="","",MIN(MAX(0,D269+E269-F269),SUMIFS(SONDERZAHLUNGEN!$E$9:$E$128,SONDERZAHLUNGEN!$B$9:$B$128,C269,SONDERZAHLUNGEN!$C$9:$C$128,A269,SONDERZAHLUNGEN!$H$9:$H$128,"OK",SONDERZAHLUNGEN!$F$9:$F$128,"Ja")))</x:f>
      </x:c>
      <x:c r="H269" s="88" t="str">
        <x:f>IF(C269="","",MIN(MAX(0,D269+E269-F269-G269),MAX(0,IF(MONATSBUDGET!$C$20="",0,MONATSBUDGET!$C$20)-SUM(F260:F279)-SUM(H260:H268))))</x:f>
      </x:c>
      <x:c r="I269" s="88" t="str">
        <x:f>IF(C269="","",MAX(0,ROUND(D269+E269-F269-G269-H269,2)))</x:f>
      </x:c>
      <x:c r="J269" s="88" t="str">
        <x:f>IF(C269="","",F269+G269+H269)</x:f>
      </x:c>
      <x:c r="K269" s="88" t="str">
        <x:f>IF(C269="","",MAX(0,SUMIFS(SONDERZAHLUNGEN!$E$9:$E$128,SONDERZAHLUNGEN!$B$9:$B$128,C269,SONDERZAHLUNGEN!$C$9:$C$128,A269,SONDERZAHLUNGEN!$H$9:$H$128,"OK",SONDERZAHLUNGEN!$F$9:$F$128,"Ja")-G269))</x:f>
      </x:c>
    </x:row>
    <x:row r="270" ht="19" customHeight="1">
      <x:c r="A270" s="90" t="n">
        <x:f>MONATSBUDGET!$A$20</x:f>
        <x:v>46600</x:v>
      </x:c>
      <x:c r="B270" t="n">
        <x:f>11</x:f>
        <x:v>11</x:v>
      </x:c>
      <x:c r="C270" t="str">
        <x:f>IF($N$19="","",$N$19)</x:f>
      </x:c>
      <x:c r="D270" s="88" t="str">
        <x:f>IF(C270="","",I250)</x:f>
      </x:c>
      <x:c r="E270" s="88" t="str">
        <x:f>IF(C270="","",ROUND(D270*$P$19/12,2))</x:f>
      </x:c>
      <x:c r="F270" s="88" t="str">
        <x:f>IF(C270="","",MIN(D270+E270,$Q$19))</x:f>
      </x:c>
      <x:c r="G270" s="88" t="str">
        <x:f>IF(C270="","",MIN(MAX(0,D270+E270-F270),SUMIFS(SONDERZAHLUNGEN!$E$9:$E$128,SONDERZAHLUNGEN!$B$9:$B$128,C270,SONDERZAHLUNGEN!$C$9:$C$128,A270,SONDERZAHLUNGEN!$H$9:$H$128,"OK",SONDERZAHLUNGEN!$F$9:$F$128,"Ja")))</x:f>
      </x:c>
      <x:c r="H270" s="88" t="str">
        <x:f>IF(C270="","",MIN(MAX(0,D270+E270-F270-G270),MAX(0,IF(MONATSBUDGET!$C$20="",0,MONATSBUDGET!$C$20)-SUM(F260:F279)-SUM(H260:H269))))</x:f>
      </x:c>
      <x:c r="I270" s="88" t="str">
        <x:f>IF(C270="","",MAX(0,ROUND(D270+E270-F270-G270-H270,2)))</x:f>
      </x:c>
      <x:c r="J270" s="88" t="str">
        <x:f>IF(C270="","",F270+G270+H270)</x:f>
      </x:c>
      <x:c r="K270" s="88" t="str">
        <x:f>IF(C270="","",MAX(0,SUMIFS(SONDERZAHLUNGEN!$E$9:$E$128,SONDERZAHLUNGEN!$B$9:$B$128,C270,SONDERZAHLUNGEN!$C$9:$C$128,A270,SONDERZAHLUNGEN!$H$9:$H$128,"OK",SONDERZAHLUNGEN!$F$9:$F$128,"Ja")-G270))</x:f>
      </x:c>
    </x:row>
    <x:row r="271" ht="19" customHeight="1">
      <x:c r="A271" s="90" t="n">
        <x:f>MONATSBUDGET!$A$20</x:f>
        <x:v>46600</x:v>
      </x:c>
      <x:c r="B271" t="n">
        <x:f>12</x:f>
        <x:v>12</x:v>
      </x:c>
      <x:c r="C271" t="str">
        <x:f>IF($N$20="","",$N$20)</x:f>
      </x:c>
      <x:c r="D271" s="88" t="str">
        <x:f>IF(C271="","",I251)</x:f>
      </x:c>
      <x:c r="E271" s="88" t="str">
        <x:f>IF(C271="","",ROUND(D271*$P$20/12,2))</x:f>
      </x:c>
      <x:c r="F271" s="88" t="str">
        <x:f>IF(C271="","",MIN(D271+E271,$Q$20))</x:f>
      </x:c>
      <x:c r="G271" s="88" t="str">
        <x:f>IF(C271="","",MIN(MAX(0,D271+E271-F271),SUMIFS(SONDERZAHLUNGEN!$E$9:$E$128,SONDERZAHLUNGEN!$B$9:$B$128,C271,SONDERZAHLUNGEN!$C$9:$C$128,A271,SONDERZAHLUNGEN!$H$9:$H$128,"OK",SONDERZAHLUNGEN!$F$9:$F$128,"Ja")))</x:f>
      </x:c>
      <x:c r="H271" s="88" t="str">
        <x:f>IF(C271="","",MIN(MAX(0,D271+E271-F271-G271),MAX(0,IF(MONATSBUDGET!$C$20="",0,MONATSBUDGET!$C$20)-SUM(F260:F279)-SUM(H260:H270))))</x:f>
      </x:c>
      <x:c r="I271" s="88" t="str">
        <x:f>IF(C271="","",MAX(0,ROUND(D271+E271-F271-G271-H271,2)))</x:f>
      </x:c>
      <x:c r="J271" s="88" t="str">
        <x:f>IF(C271="","",F271+G271+H271)</x:f>
      </x:c>
      <x:c r="K271" s="88" t="str">
        <x:f>IF(C271="","",MAX(0,SUMIFS(SONDERZAHLUNGEN!$E$9:$E$128,SONDERZAHLUNGEN!$B$9:$B$128,C271,SONDERZAHLUNGEN!$C$9:$C$128,A271,SONDERZAHLUNGEN!$H$9:$H$128,"OK",SONDERZAHLUNGEN!$F$9:$F$128,"Ja")-G271))</x:f>
      </x:c>
    </x:row>
    <x:row r="272" ht="19" customHeight="1">
      <x:c r="A272" s="90" t="n">
        <x:f>MONATSBUDGET!$A$20</x:f>
        <x:v>46600</x:v>
      </x:c>
      <x:c r="B272" t="n">
        <x:f>13</x:f>
        <x:v>13</x:v>
      </x:c>
      <x:c r="C272" t="str">
        <x:f>IF($N$21="","",$N$21)</x:f>
      </x:c>
      <x:c r="D272" s="88" t="str">
        <x:f>IF(C272="","",I252)</x:f>
      </x:c>
      <x:c r="E272" s="88" t="str">
        <x:f>IF(C272="","",ROUND(D272*$P$21/12,2))</x:f>
      </x:c>
      <x:c r="F272" s="88" t="str">
        <x:f>IF(C272="","",MIN(D272+E272,$Q$21))</x:f>
      </x:c>
      <x:c r="G272" s="88" t="str">
        <x:f>IF(C272="","",MIN(MAX(0,D272+E272-F272),SUMIFS(SONDERZAHLUNGEN!$E$9:$E$128,SONDERZAHLUNGEN!$B$9:$B$128,C272,SONDERZAHLUNGEN!$C$9:$C$128,A272,SONDERZAHLUNGEN!$H$9:$H$128,"OK",SONDERZAHLUNGEN!$F$9:$F$128,"Ja")))</x:f>
      </x:c>
      <x:c r="H272" s="88" t="str">
        <x:f>IF(C272="","",MIN(MAX(0,D272+E272-F272-G272),MAX(0,IF(MONATSBUDGET!$C$20="",0,MONATSBUDGET!$C$20)-SUM(F260:F279)-SUM(H260:H271))))</x:f>
      </x:c>
      <x:c r="I272" s="88" t="str">
        <x:f>IF(C272="","",MAX(0,ROUND(D272+E272-F272-G272-H272,2)))</x:f>
      </x:c>
      <x:c r="J272" s="88" t="str">
        <x:f>IF(C272="","",F272+G272+H272)</x:f>
      </x:c>
      <x:c r="K272" s="88" t="str">
        <x:f>IF(C272="","",MAX(0,SUMIFS(SONDERZAHLUNGEN!$E$9:$E$128,SONDERZAHLUNGEN!$B$9:$B$128,C272,SONDERZAHLUNGEN!$C$9:$C$128,A272,SONDERZAHLUNGEN!$H$9:$H$128,"OK",SONDERZAHLUNGEN!$F$9:$F$128,"Ja")-G272))</x:f>
      </x:c>
    </x:row>
    <x:row r="273" ht="19" customHeight="1">
      <x:c r="A273" s="90" t="n">
        <x:f>MONATSBUDGET!$A$20</x:f>
        <x:v>46600</x:v>
      </x:c>
      <x:c r="B273" t="n">
        <x:f>14</x:f>
        <x:v>14</x:v>
      </x:c>
      <x:c r="C273" t="str">
        <x:f>IF($N$22="","",$N$22)</x:f>
      </x:c>
      <x:c r="D273" s="88" t="str">
        <x:f>IF(C273="","",I253)</x:f>
      </x:c>
      <x:c r="E273" s="88" t="str">
        <x:f>IF(C273="","",ROUND(D273*$P$22/12,2))</x:f>
      </x:c>
      <x:c r="F273" s="88" t="str">
        <x:f>IF(C273="","",MIN(D273+E273,$Q$22))</x:f>
      </x:c>
      <x:c r="G273" s="88" t="str">
        <x:f>IF(C273="","",MIN(MAX(0,D273+E273-F273),SUMIFS(SONDERZAHLUNGEN!$E$9:$E$128,SONDERZAHLUNGEN!$B$9:$B$128,C273,SONDERZAHLUNGEN!$C$9:$C$128,A273,SONDERZAHLUNGEN!$H$9:$H$128,"OK",SONDERZAHLUNGEN!$F$9:$F$128,"Ja")))</x:f>
      </x:c>
      <x:c r="H273" s="88" t="str">
        <x:f>IF(C273="","",MIN(MAX(0,D273+E273-F273-G273),MAX(0,IF(MONATSBUDGET!$C$20="",0,MONATSBUDGET!$C$20)-SUM(F260:F279)-SUM(H260:H272))))</x:f>
      </x:c>
      <x:c r="I273" s="88" t="str">
        <x:f>IF(C273="","",MAX(0,ROUND(D273+E273-F273-G273-H273,2)))</x:f>
      </x:c>
      <x:c r="J273" s="88" t="str">
        <x:f>IF(C273="","",F273+G273+H273)</x:f>
      </x:c>
      <x:c r="K273" s="88" t="str">
        <x:f>IF(C273="","",MAX(0,SUMIFS(SONDERZAHLUNGEN!$E$9:$E$128,SONDERZAHLUNGEN!$B$9:$B$128,C273,SONDERZAHLUNGEN!$C$9:$C$128,A273,SONDERZAHLUNGEN!$H$9:$H$128,"OK",SONDERZAHLUNGEN!$F$9:$F$128,"Ja")-G273))</x:f>
      </x:c>
    </x:row>
    <x:row r="274" ht="19" customHeight="1">
      <x:c r="A274" s="90" t="n">
        <x:f>MONATSBUDGET!$A$20</x:f>
        <x:v>46600</x:v>
      </x:c>
      <x:c r="B274" t="n">
        <x:f>15</x:f>
        <x:v>15</x:v>
      </x:c>
      <x:c r="C274" t="str">
        <x:f>IF($N$23="","",$N$23)</x:f>
      </x:c>
      <x:c r="D274" s="88" t="str">
        <x:f>IF(C274="","",I254)</x:f>
      </x:c>
      <x:c r="E274" s="88" t="str">
        <x:f>IF(C274="","",ROUND(D274*$P$23/12,2))</x:f>
      </x:c>
      <x:c r="F274" s="88" t="str">
        <x:f>IF(C274="","",MIN(D274+E274,$Q$23))</x:f>
      </x:c>
      <x:c r="G274" s="88" t="str">
        <x:f>IF(C274="","",MIN(MAX(0,D274+E274-F274),SUMIFS(SONDERZAHLUNGEN!$E$9:$E$128,SONDERZAHLUNGEN!$B$9:$B$128,C274,SONDERZAHLUNGEN!$C$9:$C$128,A274,SONDERZAHLUNGEN!$H$9:$H$128,"OK",SONDERZAHLUNGEN!$F$9:$F$128,"Ja")))</x:f>
      </x:c>
      <x:c r="H274" s="88" t="str">
        <x:f>IF(C274="","",MIN(MAX(0,D274+E274-F274-G274),MAX(0,IF(MONATSBUDGET!$C$20="",0,MONATSBUDGET!$C$20)-SUM(F260:F279)-SUM(H260:H273))))</x:f>
      </x:c>
      <x:c r="I274" s="88" t="str">
        <x:f>IF(C274="","",MAX(0,ROUND(D274+E274-F274-G274-H274,2)))</x:f>
      </x:c>
      <x:c r="J274" s="88" t="str">
        <x:f>IF(C274="","",F274+G274+H274)</x:f>
      </x:c>
      <x:c r="K274" s="88" t="str">
        <x:f>IF(C274="","",MAX(0,SUMIFS(SONDERZAHLUNGEN!$E$9:$E$128,SONDERZAHLUNGEN!$B$9:$B$128,C274,SONDERZAHLUNGEN!$C$9:$C$128,A274,SONDERZAHLUNGEN!$H$9:$H$128,"OK",SONDERZAHLUNGEN!$F$9:$F$128,"Ja")-G274))</x:f>
      </x:c>
    </x:row>
    <x:row r="275" ht="19" customHeight="1">
      <x:c r="A275" s="90" t="n">
        <x:f>MONATSBUDGET!$A$20</x:f>
        <x:v>46600</x:v>
      </x:c>
      <x:c r="B275" t="n">
        <x:f>16</x:f>
        <x:v>16</x:v>
      </x:c>
      <x:c r="C275" t="str">
        <x:f>IF($N$24="","",$N$24)</x:f>
      </x:c>
      <x:c r="D275" s="88" t="str">
        <x:f>IF(C275="","",I255)</x:f>
      </x:c>
      <x:c r="E275" s="88" t="str">
        <x:f>IF(C275="","",ROUND(D275*$P$24/12,2))</x:f>
      </x:c>
      <x:c r="F275" s="88" t="str">
        <x:f>IF(C275="","",MIN(D275+E275,$Q$24))</x:f>
      </x:c>
      <x:c r="G275" s="88" t="str">
        <x:f>IF(C275="","",MIN(MAX(0,D275+E275-F275),SUMIFS(SONDERZAHLUNGEN!$E$9:$E$128,SONDERZAHLUNGEN!$B$9:$B$128,C275,SONDERZAHLUNGEN!$C$9:$C$128,A275,SONDERZAHLUNGEN!$H$9:$H$128,"OK",SONDERZAHLUNGEN!$F$9:$F$128,"Ja")))</x:f>
      </x:c>
      <x:c r="H275" s="88" t="str">
        <x:f>IF(C275="","",MIN(MAX(0,D275+E275-F275-G275),MAX(0,IF(MONATSBUDGET!$C$20="",0,MONATSBUDGET!$C$20)-SUM(F260:F279)-SUM(H260:H274))))</x:f>
      </x:c>
      <x:c r="I275" s="88" t="str">
        <x:f>IF(C275="","",MAX(0,ROUND(D275+E275-F275-G275-H275,2)))</x:f>
      </x:c>
      <x:c r="J275" s="88" t="str">
        <x:f>IF(C275="","",F275+G275+H275)</x:f>
      </x:c>
      <x:c r="K275" s="88" t="str">
        <x:f>IF(C275="","",MAX(0,SUMIFS(SONDERZAHLUNGEN!$E$9:$E$128,SONDERZAHLUNGEN!$B$9:$B$128,C275,SONDERZAHLUNGEN!$C$9:$C$128,A275,SONDERZAHLUNGEN!$H$9:$H$128,"OK",SONDERZAHLUNGEN!$F$9:$F$128,"Ja")-G275))</x:f>
      </x:c>
    </x:row>
    <x:row r="276" ht="19" customHeight="1">
      <x:c r="A276" s="90" t="n">
        <x:f>MONATSBUDGET!$A$20</x:f>
        <x:v>46600</x:v>
      </x:c>
      <x:c r="B276" t="n">
        <x:f>17</x:f>
        <x:v>17</x:v>
      </x:c>
      <x:c r="C276" t="str">
        <x:f>IF($N$25="","",$N$25)</x:f>
      </x:c>
      <x:c r="D276" s="88" t="str">
        <x:f>IF(C276="","",I256)</x:f>
      </x:c>
      <x:c r="E276" s="88" t="str">
        <x:f>IF(C276="","",ROUND(D276*$P$25/12,2))</x:f>
      </x:c>
      <x:c r="F276" s="88" t="str">
        <x:f>IF(C276="","",MIN(D276+E276,$Q$25))</x:f>
      </x:c>
      <x:c r="G276" s="88" t="str">
        <x:f>IF(C276="","",MIN(MAX(0,D276+E276-F276),SUMIFS(SONDERZAHLUNGEN!$E$9:$E$128,SONDERZAHLUNGEN!$B$9:$B$128,C276,SONDERZAHLUNGEN!$C$9:$C$128,A276,SONDERZAHLUNGEN!$H$9:$H$128,"OK",SONDERZAHLUNGEN!$F$9:$F$128,"Ja")))</x:f>
      </x:c>
      <x:c r="H276" s="88" t="str">
        <x:f>IF(C276="","",MIN(MAX(0,D276+E276-F276-G276),MAX(0,IF(MONATSBUDGET!$C$20="",0,MONATSBUDGET!$C$20)-SUM(F260:F279)-SUM(H260:H275))))</x:f>
      </x:c>
      <x:c r="I276" s="88" t="str">
        <x:f>IF(C276="","",MAX(0,ROUND(D276+E276-F276-G276-H276,2)))</x:f>
      </x:c>
      <x:c r="J276" s="88" t="str">
        <x:f>IF(C276="","",F276+G276+H276)</x:f>
      </x:c>
      <x:c r="K276" s="88" t="str">
        <x:f>IF(C276="","",MAX(0,SUMIFS(SONDERZAHLUNGEN!$E$9:$E$128,SONDERZAHLUNGEN!$B$9:$B$128,C276,SONDERZAHLUNGEN!$C$9:$C$128,A276,SONDERZAHLUNGEN!$H$9:$H$128,"OK",SONDERZAHLUNGEN!$F$9:$F$128,"Ja")-G276))</x:f>
      </x:c>
    </x:row>
    <x:row r="277" ht="19" customHeight="1">
      <x:c r="A277" s="90" t="n">
        <x:f>MONATSBUDGET!$A$20</x:f>
        <x:v>46600</x:v>
      </x:c>
      <x:c r="B277" t="n">
        <x:f>18</x:f>
        <x:v>18</x:v>
      </x:c>
      <x:c r="C277" t="str">
        <x:f>IF($N$26="","",$N$26)</x:f>
      </x:c>
      <x:c r="D277" s="88" t="str">
        <x:f>IF(C277="","",I257)</x:f>
      </x:c>
      <x:c r="E277" s="88" t="str">
        <x:f>IF(C277="","",ROUND(D277*$P$26/12,2))</x:f>
      </x:c>
      <x:c r="F277" s="88" t="str">
        <x:f>IF(C277="","",MIN(D277+E277,$Q$26))</x:f>
      </x:c>
      <x:c r="G277" s="88" t="str">
        <x:f>IF(C277="","",MIN(MAX(0,D277+E277-F277),SUMIFS(SONDERZAHLUNGEN!$E$9:$E$128,SONDERZAHLUNGEN!$B$9:$B$128,C277,SONDERZAHLUNGEN!$C$9:$C$128,A277,SONDERZAHLUNGEN!$H$9:$H$128,"OK",SONDERZAHLUNGEN!$F$9:$F$128,"Ja")))</x:f>
      </x:c>
      <x:c r="H277" s="88" t="str">
        <x:f>IF(C277="","",MIN(MAX(0,D277+E277-F277-G277),MAX(0,IF(MONATSBUDGET!$C$20="",0,MONATSBUDGET!$C$20)-SUM(F260:F279)-SUM(H260:H276))))</x:f>
      </x:c>
      <x:c r="I277" s="88" t="str">
        <x:f>IF(C277="","",MAX(0,ROUND(D277+E277-F277-G277-H277,2)))</x:f>
      </x:c>
      <x:c r="J277" s="88" t="str">
        <x:f>IF(C277="","",F277+G277+H277)</x:f>
      </x:c>
      <x:c r="K277" s="88" t="str">
        <x:f>IF(C277="","",MAX(0,SUMIFS(SONDERZAHLUNGEN!$E$9:$E$128,SONDERZAHLUNGEN!$B$9:$B$128,C277,SONDERZAHLUNGEN!$C$9:$C$128,A277,SONDERZAHLUNGEN!$H$9:$H$128,"OK",SONDERZAHLUNGEN!$F$9:$F$128,"Ja")-G277))</x:f>
      </x:c>
    </x:row>
    <x:row r="278" ht="19" customHeight="1">
      <x:c r="A278" s="90" t="n">
        <x:f>MONATSBUDGET!$A$20</x:f>
        <x:v>46600</x:v>
      </x:c>
      <x:c r="B278" t="n">
        <x:f>19</x:f>
        <x:v>19</x:v>
      </x:c>
      <x:c r="C278" t="str">
        <x:f>IF($N$27="","",$N$27)</x:f>
      </x:c>
      <x:c r="D278" s="88" t="str">
        <x:f>IF(C278="","",I258)</x:f>
      </x:c>
      <x:c r="E278" s="88" t="str">
        <x:f>IF(C278="","",ROUND(D278*$P$27/12,2))</x:f>
      </x:c>
      <x:c r="F278" s="88" t="str">
        <x:f>IF(C278="","",MIN(D278+E278,$Q$27))</x:f>
      </x:c>
      <x:c r="G278" s="88" t="str">
        <x:f>IF(C278="","",MIN(MAX(0,D278+E278-F278),SUMIFS(SONDERZAHLUNGEN!$E$9:$E$128,SONDERZAHLUNGEN!$B$9:$B$128,C278,SONDERZAHLUNGEN!$C$9:$C$128,A278,SONDERZAHLUNGEN!$H$9:$H$128,"OK",SONDERZAHLUNGEN!$F$9:$F$128,"Ja")))</x:f>
      </x:c>
      <x:c r="H278" s="88" t="str">
        <x:f>IF(C278="","",MIN(MAX(0,D278+E278-F278-G278),MAX(0,IF(MONATSBUDGET!$C$20="",0,MONATSBUDGET!$C$20)-SUM(F260:F279)-SUM(H260:H277))))</x:f>
      </x:c>
      <x:c r="I278" s="88" t="str">
        <x:f>IF(C278="","",MAX(0,ROUND(D278+E278-F278-G278-H278,2)))</x:f>
      </x:c>
      <x:c r="J278" s="88" t="str">
        <x:f>IF(C278="","",F278+G278+H278)</x:f>
      </x:c>
      <x:c r="K278" s="88" t="str">
        <x:f>IF(C278="","",MAX(0,SUMIFS(SONDERZAHLUNGEN!$E$9:$E$128,SONDERZAHLUNGEN!$B$9:$B$128,C278,SONDERZAHLUNGEN!$C$9:$C$128,A278,SONDERZAHLUNGEN!$H$9:$H$128,"OK",SONDERZAHLUNGEN!$F$9:$F$128,"Ja")-G278))</x:f>
      </x:c>
    </x:row>
    <x:row r="279" ht="19" customHeight="1">
      <x:c r="A279" s="90" t="n">
        <x:f>MONATSBUDGET!$A$20</x:f>
        <x:v>46600</x:v>
      </x:c>
      <x:c r="B279" t="n">
        <x:f>20</x:f>
        <x:v>20</x:v>
      </x:c>
      <x:c r="C279" t="str">
        <x:f>IF($N$28="","",$N$28)</x:f>
      </x:c>
      <x:c r="D279" s="88" t="str">
        <x:f>IF(C279="","",I259)</x:f>
      </x:c>
      <x:c r="E279" s="88" t="str">
        <x:f>IF(C279="","",ROUND(D279*$P$28/12,2))</x:f>
      </x:c>
      <x:c r="F279" s="88" t="str">
        <x:f>IF(C279="","",MIN(D279+E279,$Q$28))</x:f>
      </x:c>
      <x:c r="G279" s="88" t="str">
        <x:f>IF(C279="","",MIN(MAX(0,D279+E279-F279),SUMIFS(SONDERZAHLUNGEN!$E$9:$E$128,SONDERZAHLUNGEN!$B$9:$B$128,C279,SONDERZAHLUNGEN!$C$9:$C$128,A279,SONDERZAHLUNGEN!$H$9:$H$128,"OK",SONDERZAHLUNGEN!$F$9:$F$128,"Ja")))</x:f>
      </x:c>
      <x:c r="H279" s="88" t="str">
        <x:f>IF(C279="","",MIN(MAX(0,D279+E279-F279-G279),MAX(0,IF(MONATSBUDGET!$C$20="",0,MONATSBUDGET!$C$20)-SUM(F260:F279)-SUM(H260:H278))))</x:f>
      </x:c>
      <x:c r="I279" s="88" t="str">
        <x:f>IF(C279="","",MAX(0,ROUND(D279+E279-F279-G279-H279,2)))</x:f>
      </x:c>
      <x:c r="J279" s="88" t="str">
        <x:f>IF(C279="","",F279+G279+H279)</x:f>
      </x:c>
      <x:c r="K279" s="88" t="str">
        <x:f>IF(C279="","",MAX(0,SUMIFS(SONDERZAHLUNGEN!$E$9:$E$128,SONDERZAHLUNGEN!$B$9:$B$128,C279,SONDERZAHLUNGEN!$C$9:$C$128,A279,SONDERZAHLUNGEN!$H$9:$H$128,"OK",SONDERZAHLUNGEN!$F$9:$F$128,"Ja")-G279))</x:f>
      </x:c>
    </x:row>
    <x:row r="280" ht="19" customHeight="1">
      <x:c r="A280" s="90" t="n">
        <x:f>MONATSBUDGET!$A$21</x:f>
        <x:v>46631</x:v>
      </x:c>
      <x:c r="B280" t="n">
        <x:f>1</x:f>
        <x:v>1</x:v>
      </x:c>
      <x:c r="C280" t="str">
        <x:f>IF($N$9="","",$N$9)</x:f>
      </x:c>
      <x:c r="D280" s="88" t="str">
        <x:f>IF(C280="","",I260)</x:f>
      </x:c>
      <x:c r="E280" s="88" t="str">
        <x:f>IF(C280="","",ROUND(D280*$P$9/12,2))</x:f>
      </x:c>
      <x:c r="F280" s="88" t="str">
        <x:f>IF(C280="","",MIN(D280+E280,$Q$9))</x:f>
      </x:c>
      <x:c r="G280" s="88" t="str">
        <x:f>IF(C280="","",MIN(MAX(0,D280+E280-F280),SUMIFS(SONDERZAHLUNGEN!$E$9:$E$128,SONDERZAHLUNGEN!$B$9:$B$128,C280,SONDERZAHLUNGEN!$C$9:$C$128,A280,SONDERZAHLUNGEN!$H$9:$H$128,"OK",SONDERZAHLUNGEN!$F$9:$F$128,"Ja")))</x:f>
      </x:c>
      <x:c r="H280" s="88" t="str">
        <x:f>IF(C280="","",MIN(MAX(0,D280+E280-F280-G280),MAX(0,IF(MONATSBUDGET!$C$21="",0,MONATSBUDGET!$C$21)-SUM(F280:F299)-0)))</x:f>
      </x:c>
      <x:c r="I280" s="88" t="str">
        <x:f>IF(C280="","",MAX(0,ROUND(D280+E280-F280-G280-H280,2)))</x:f>
      </x:c>
      <x:c r="J280" s="88" t="str">
        <x:f>IF(C280="","",F280+G280+H280)</x:f>
      </x:c>
      <x:c r="K280" s="88" t="str">
        <x:f>IF(C280="","",MAX(0,SUMIFS(SONDERZAHLUNGEN!$E$9:$E$128,SONDERZAHLUNGEN!$B$9:$B$128,C280,SONDERZAHLUNGEN!$C$9:$C$128,A280,SONDERZAHLUNGEN!$H$9:$H$128,"OK",SONDERZAHLUNGEN!$F$9:$F$128,"Ja")-G280))</x:f>
      </x:c>
    </x:row>
    <x:row r="281" ht="19" customHeight="1">
      <x:c r="A281" s="90" t="n">
        <x:f>MONATSBUDGET!$A$21</x:f>
        <x:v>46631</x:v>
      </x:c>
      <x:c r="B281" t="n">
        <x:f>2</x:f>
        <x:v>2</x:v>
      </x:c>
      <x:c r="C281" t="str">
        <x:f>IF($N$10="","",$N$10)</x:f>
      </x:c>
      <x:c r="D281" s="88" t="str">
        <x:f>IF(C281="","",I261)</x:f>
      </x:c>
      <x:c r="E281" s="88" t="str">
        <x:f>IF(C281="","",ROUND(D281*$P$10/12,2))</x:f>
      </x:c>
      <x:c r="F281" s="88" t="str">
        <x:f>IF(C281="","",MIN(D281+E281,$Q$10))</x:f>
      </x:c>
      <x:c r="G281" s="88" t="str">
        <x:f>IF(C281="","",MIN(MAX(0,D281+E281-F281),SUMIFS(SONDERZAHLUNGEN!$E$9:$E$128,SONDERZAHLUNGEN!$B$9:$B$128,C281,SONDERZAHLUNGEN!$C$9:$C$128,A281,SONDERZAHLUNGEN!$H$9:$H$128,"OK",SONDERZAHLUNGEN!$F$9:$F$128,"Ja")))</x:f>
      </x:c>
      <x:c r="H281" s="88" t="str">
        <x:f>IF(C281="","",MIN(MAX(0,D281+E281-F281-G281),MAX(0,IF(MONATSBUDGET!$C$21="",0,MONATSBUDGET!$C$21)-SUM(F280:F299)-SUM(H280:H280))))</x:f>
      </x:c>
      <x:c r="I281" s="88" t="str">
        <x:f>IF(C281="","",MAX(0,ROUND(D281+E281-F281-G281-H281,2)))</x:f>
      </x:c>
      <x:c r="J281" s="88" t="str">
        <x:f>IF(C281="","",F281+G281+H281)</x:f>
      </x:c>
      <x:c r="K281" s="88" t="str">
        <x:f>IF(C281="","",MAX(0,SUMIFS(SONDERZAHLUNGEN!$E$9:$E$128,SONDERZAHLUNGEN!$B$9:$B$128,C281,SONDERZAHLUNGEN!$C$9:$C$128,A281,SONDERZAHLUNGEN!$H$9:$H$128,"OK",SONDERZAHLUNGEN!$F$9:$F$128,"Ja")-G281))</x:f>
      </x:c>
    </x:row>
    <x:row r="282" ht="19" customHeight="1">
      <x:c r="A282" s="90" t="n">
        <x:f>MONATSBUDGET!$A$21</x:f>
        <x:v>46631</x:v>
      </x:c>
      <x:c r="B282" t="n">
        <x:f>3</x:f>
        <x:v>3</x:v>
      </x:c>
      <x:c r="C282" t="str">
        <x:f>IF($N$11="","",$N$11)</x:f>
      </x:c>
      <x:c r="D282" s="88" t="str">
        <x:f>IF(C282="","",I262)</x:f>
      </x:c>
      <x:c r="E282" s="88" t="str">
        <x:f>IF(C282="","",ROUND(D282*$P$11/12,2))</x:f>
      </x:c>
      <x:c r="F282" s="88" t="str">
        <x:f>IF(C282="","",MIN(D282+E282,$Q$11))</x:f>
      </x:c>
      <x:c r="G282" s="88" t="str">
        <x:f>IF(C282="","",MIN(MAX(0,D282+E282-F282),SUMIFS(SONDERZAHLUNGEN!$E$9:$E$128,SONDERZAHLUNGEN!$B$9:$B$128,C282,SONDERZAHLUNGEN!$C$9:$C$128,A282,SONDERZAHLUNGEN!$H$9:$H$128,"OK",SONDERZAHLUNGEN!$F$9:$F$128,"Ja")))</x:f>
      </x:c>
      <x:c r="H282" s="88" t="str">
        <x:f>IF(C282="","",MIN(MAX(0,D282+E282-F282-G282),MAX(0,IF(MONATSBUDGET!$C$21="",0,MONATSBUDGET!$C$21)-SUM(F280:F299)-SUM(H280:H281))))</x:f>
      </x:c>
      <x:c r="I282" s="88" t="str">
        <x:f>IF(C282="","",MAX(0,ROUND(D282+E282-F282-G282-H282,2)))</x:f>
      </x:c>
      <x:c r="J282" s="88" t="str">
        <x:f>IF(C282="","",F282+G282+H282)</x:f>
      </x:c>
      <x:c r="K282" s="88" t="str">
        <x:f>IF(C282="","",MAX(0,SUMIFS(SONDERZAHLUNGEN!$E$9:$E$128,SONDERZAHLUNGEN!$B$9:$B$128,C282,SONDERZAHLUNGEN!$C$9:$C$128,A282,SONDERZAHLUNGEN!$H$9:$H$128,"OK",SONDERZAHLUNGEN!$F$9:$F$128,"Ja")-G282))</x:f>
      </x:c>
    </x:row>
    <x:row r="283" ht="19" customHeight="1">
      <x:c r="A283" s="90" t="n">
        <x:f>MONATSBUDGET!$A$21</x:f>
        <x:v>46631</x:v>
      </x:c>
      <x:c r="B283" t="n">
        <x:f>4</x:f>
        <x:v>4</x:v>
      </x:c>
      <x:c r="C283" t="str">
        <x:f>IF($N$12="","",$N$12)</x:f>
      </x:c>
      <x:c r="D283" s="88" t="str">
        <x:f>IF(C283="","",I263)</x:f>
      </x:c>
      <x:c r="E283" s="88" t="str">
        <x:f>IF(C283="","",ROUND(D283*$P$12/12,2))</x:f>
      </x:c>
      <x:c r="F283" s="88" t="str">
        <x:f>IF(C283="","",MIN(D283+E283,$Q$12))</x:f>
      </x:c>
      <x:c r="G283" s="88" t="str">
        <x:f>IF(C283="","",MIN(MAX(0,D283+E283-F283),SUMIFS(SONDERZAHLUNGEN!$E$9:$E$128,SONDERZAHLUNGEN!$B$9:$B$128,C283,SONDERZAHLUNGEN!$C$9:$C$128,A283,SONDERZAHLUNGEN!$H$9:$H$128,"OK",SONDERZAHLUNGEN!$F$9:$F$128,"Ja")))</x:f>
      </x:c>
      <x:c r="H283" s="88" t="str">
        <x:f>IF(C283="","",MIN(MAX(0,D283+E283-F283-G283),MAX(0,IF(MONATSBUDGET!$C$21="",0,MONATSBUDGET!$C$21)-SUM(F280:F299)-SUM(H280:H282))))</x:f>
      </x:c>
      <x:c r="I283" s="88" t="str">
        <x:f>IF(C283="","",MAX(0,ROUND(D283+E283-F283-G283-H283,2)))</x:f>
      </x:c>
      <x:c r="J283" s="88" t="str">
        <x:f>IF(C283="","",F283+G283+H283)</x:f>
      </x:c>
      <x:c r="K283" s="88" t="str">
        <x:f>IF(C283="","",MAX(0,SUMIFS(SONDERZAHLUNGEN!$E$9:$E$128,SONDERZAHLUNGEN!$B$9:$B$128,C283,SONDERZAHLUNGEN!$C$9:$C$128,A283,SONDERZAHLUNGEN!$H$9:$H$128,"OK",SONDERZAHLUNGEN!$F$9:$F$128,"Ja")-G283))</x:f>
      </x:c>
    </x:row>
    <x:row r="284" ht="19" customHeight="1">
      <x:c r="A284" s="90" t="n">
        <x:f>MONATSBUDGET!$A$21</x:f>
        <x:v>46631</x:v>
      </x:c>
      <x:c r="B284" t="n">
        <x:f>5</x:f>
        <x:v>5</x:v>
      </x:c>
      <x:c r="C284" t="str">
        <x:f>IF($N$13="","",$N$13)</x:f>
      </x:c>
      <x:c r="D284" s="88" t="str">
        <x:f>IF(C284="","",I264)</x:f>
      </x:c>
      <x:c r="E284" s="88" t="str">
        <x:f>IF(C284="","",ROUND(D284*$P$13/12,2))</x:f>
      </x:c>
      <x:c r="F284" s="88" t="str">
        <x:f>IF(C284="","",MIN(D284+E284,$Q$13))</x:f>
      </x:c>
      <x:c r="G284" s="88" t="str">
        <x:f>IF(C284="","",MIN(MAX(0,D284+E284-F284),SUMIFS(SONDERZAHLUNGEN!$E$9:$E$128,SONDERZAHLUNGEN!$B$9:$B$128,C284,SONDERZAHLUNGEN!$C$9:$C$128,A284,SONDERZAHLUNGEN!$H$9:$H$128,"OK",SONDERZAHLUNGEN!$F$9:$F$128,"Ja")))</x:f>
      </x:c>
      <x:c r="H284" s="88" t="str">
        <x:f>IF(C284="","",MIN(MAX(0,D284+E284-F284-G284),MAX(0,IF(MONATSBUDGET!$C$21="",0,MONATSBUDGET!$C$21)-SUM(F280:F299)-SUM(H280:H283))))</x:f>
      </x:c>
      <x:c r="I284" s="88" t="str">
        <x:f>IF(C284="","",MAX(0,ROUND(D284+E284-F284-G284-H284,2)))</x:f>
      </x:c>
      <x:c r="J284" s="88" t="str">
        <x:f>IF(C284="","",F284+G284+H284)</x:f>
      </x:c>
      <x:c r="K284" s="88" t="str">
        <x:f>IF(C284="","",MAX(0,SUMIFS(SONDERZAHLUNGEN!$E$9:$E$128,SONDERZAHLUNGEN!$B$9:$B$128,C284,SONDERZAHLUNGEN!$C$9:$C$128,A284,SONDERZAHLUNGEN!$H$9:$H$128,"OK",SONDERZAHLUNGEN!$F$9:$F$128,"Ja")-G284))</x:f>
      </x:c>
    </x:row>
    <x:row r="285" ht="19" customHeight="1">
      <x:c r="A285" s="90" t="n">
        <x:f>MONATSBUDGET!$A$21</x:f>
        <x:v>46631</x:v>
      </x:c>
      <x:c r="B285" t="n">
        <x:f>6</x:f>
        <x:v>6</x:v>
      </x:c>
      <x:c r="C285" t="str">
        <x:f>IF($N$14="","",$N$14)</x:f>
      </x:c>
      <x:c r="D285" s="88" t="str">
        <x:f>IF(C285="","",I265)</x:f>
      </x:c>
      <x:c r="E285" s="88" t="str">
        <x:f>IF(C285="","",ROUND(D285*$P$14/12,2))</x:f>
      </x:c>
      <x:c r="F285" s="88" t="str">
        <x:f>IF(C285="","",MIN(D285+E285,$Q$14))</x:f>
      </x:c>
      <x:c r="G285" s="88" t="str">
        <x:f>IF(C285="","",MIN(MAX(0,D285+E285-F285),SUMIFS(SONDERZAHLUNGEN!$E$9:$E$128,SONDERZAHLUNGEN!$B$9:$B$128,C285,SONDERZAHLUNGEN!$C$9:$C$128,A285,SONDERZAHLUNGEN!$H$9:$H$128,"OK",SONDERZAHLUNGEN!$F$9:$F$128,"Ja")))</x:f>
      </x:c>
      <x:c r="H285" s="88" t="str">
        <x:f>IF(C285="","",MIN(MAX(0,D285+E285-F285-G285),MAX(0,IF(MONATSBUDGET!$C$21="",0,MONATSBUDGET!$C$21)-SUM(F280:F299)-SUM(H280:H284))))</x:f>
      </x:c>
      <x:c r="I285" s="88" t="str">
        <x:f>IF(C285="","",MAX(0,ROUND(D285+E285-F285-G285-H285,2)))</x:f>
      </x:c>
      <x:c r="J285" s="88" t="str">
        <x:f>IF(C285="","",F285+G285+H285)</x:f>
      </x:c>
      <x:c r="K285" s="88" t="str">
        <x:f>IF(C285="","",MAX(0,SUMIFS(SONDERZAHLUNGEN!$E$9:$E$128,SONDERZAHLUNGEN!$B$9:$B$128,C285,SONDERZAHLUNGEN!$C$9:$C$128,A285,SONDERZAHLUNGEN!$H$9:$H$128,"OK",SONDERZAHLUNGEN!$F$9:$F$128,"Ja")-G285))</x:f>
      </x:c>
    </x:row>
    <x:row r="286" ht="19" customHeight="1">
      <x:c r="A286" s="90" t="n">
        <x:f>MONATSBUDGET!$A$21</x:f>
        <x:v>46631</x:v>
      </x:c>
      <x:c r="B286" t="n">
        <x:f>7</x:f>
        <x:v>7</x:v>
      </x:c>
      <x:c r="C286" t="str">
        <x:f>IF($N$15="","",$N$15)</x:f>
      </x:c>
      <x:c r="D286" s="88" t="str">
        <x:f>IF(C286="","",I266)</x:f>
      </x:c>
      <x:c r="E286" s="88" t="str">
        <x:f>IF(C286="","",ROUND(D286*$P$15/12,2))</x:f>
      </x:c>
      <x:c r="F286" s="88" t="str">
        <x:f>IF(C286="","",MIN(D286+E286,$Q$15))</x:f>
      </x:c>
      <x:c r="G286" s="88" t="str">
        <x:f>IF(C286="","",MIN(MAX(0,D286+E286-F286),SUMIFS(SONDERZAHLUNGEN!$E$9:$E$128,SONDERZAHLUNGEN!$B$9:$B$128,C286,SONDERZAHLUNGEN!$C$9:$C$128,A286,SONDERZAHLUNGEN!$H$9:$H$128,"OK",SONDERZAHLUNGEN!$F$9:$F$128,"Ja")))</x:f>
      </x:c>
      <x:c r="H286" s="88" t="str">
        <x:f>IF(C286="","",MIN(MAX(0,D286+E286-F286-G286),MAX(0,IF(MONATSBUDGET!$C$21="",0,MONATSBUDGET!$C$21)-SUM(F280:F299)-SUM(H280:H285))))</x:f>
      </x:c>
      <x:c r="I286" s="88" t="str">
        <x:f>IF(C286="","",MAX(0,ROUND(D286+E286-F286-G286-H286,2)))</x:f>
      </x:c>
      <x:c r="J286" s="88" t="str">
        <x:f>IF(C286="","",F286+G286+H286)</x:f>
      </x:c>
      <x:c r="K286" s="88" t="str">
        <x:f>IF(C286="","",MAX(0,SUMIFS(SONDERZAHLUNGEN!$E$9:$E$128,SONDERZAHLUNGEN!$B$9:$B$128,C286,SONDERZAHLUNGEN!$C$9:$C$128,A286,SONDERZAHLUNGEN!$H$9:$H$128,"OK",SONDERZAHLUNGEN!$F$9:$F$128,"Ja")-G286))</x:f>
      </x:c>
    </x:row>
    <x:row r="287" ht="19" customHeight="1">
      <x:c r="A287" s="90" t="n">
        <x:f>MONATSBUDGET!$A$21</x:f>
        <x:v>46631</x:v>
      </x:c>
      <x:c r="B287" t="n">
        <x:f>8</x:f>
        <x:v>8</x:v>
      </x:c>
      <x:c r="C287" t="str">
        <x:f>IF($N$16="","",$N$16)</x:f>
      </x:c>
      <x:c r="D287" s="88" t="str">
        <x:f>IF(C287="","",I267)</x:f>
      </x:c>
      <x:c r="E287" s="88" t="str">
        <x:f>IF(C287="","",ROUND(D287*$P$16/12,2))</x:f>
      </x:c>
      <x:c r="F287" s="88" t="str">
        <x:f>IF(C287="","",MIN(D287+E287,$Q$16))</x:f>
      </x:c>
      <x:c r="G287" s="88" t="str">
        <x:f>IF(C287="","",MIN(MAX(0,D287+E287-F287),SUMIFS(SONDERZAHLUNGEN!$E$9:$E$128,SONDERZAHLUNGEN!$B$9:$B$128,C287,SONDERZAHLUNGEN!$C$9:$C$128,A287,SONDERZAHLUNGEN!$H$9:$H$128,"OK",SONDERZAHLUNGEN!$F$9:$F$128,"Ja")))</x:f>
      </x:c>
      <x:c r="H287" s="88" t="str">
        <x:f>IF(C287="","",MIN(MAX(0,D287+E287-F287-G287),MAX(0,IF(MONATSBUDGET!$C$21="",0,MONATSBUDGET!$C$21)-SUM(F280:F299)-SUM(H280:H286))))</x:f>
      </x:c>
      <x:c r="I287" s="88" t="str">
        <x:f>IF(C287="","",MAX(0,ROUND(D287+E287-F287-G287-H287,2)))</x:f>
      </x:c>
      <x:c r="J287" s="88" t="str">
        <x:f>IF(C287="","",F287+G287+H287)</x:f>
      </x:c>
      <x:c r="K287" s="88" t="str">
        <x:f>IF(C287="","",MAX(0,SUMIFS(SONDERZAHLUNGEN!$E$9:$E$128,SONDERZAHLUNGEN!$B$9:$B$128,C287,SONDERZAHLUNGEN!$C$9:$C$128,A287,SONDERZAHLUNGEN!$H$9:$H$128,"OK",SONDERZAHLUNGEN!$F$9:$F$128,"Ja")-G287))</x:f>
      </x:c>
    </x:row>
    <x:row r="288" ht="19" customHeight="1">
      <x:c r="A288" s="90" t="n">
        <x:f>MONATSBUDGET!$A$21</x:f>
        <x:v>46631</x:v>
      </x:c>
      <x:c r="B288" t="n">
        <x:f>9</x:f>
        <x:v>9</x:v>
      </x:c>
      <x:c r="C288" t="str">
        <x:f>IF($N$17="","",$N$17)</x:f>
      </x:c>
      <x:c r="D288" s="88" t="str">
        <x:f>IF(C288="","",I268)</x:f>
      </x:c>
      <x:c r="E288" s="88" t="str">
        <x:f>IF(C288="","",ROUND(D288*$P$17/12,2))</x:f>
      </x:c>
      <x:c r="F288" s="88" t="str">
        <x:f>IF(C288="","",MIN(D288+E288,$Q$17))</x:f>
      </x:c>
      <x:c r="G288" s="88" t="str">
        <x:f>IF(C288="","",MIN(MAX(0,D288+E288-F288),SUMIFS(SONDERZAHLUNGEN!$E$9:$E$128,SONDERZAHLUNGEN!$B$9:$B$128,C288,SONDERZAHLUNGEN!$C$9:$C$128,A288,SONDERZAHLUNGEN!$H$9:$H$128,"OK",SONDERZAHLUNGEN!$F$9:$F$128,"Ja")))</x:f>
      </x:c>
      <x:c r="H288" s="88" t="str">
        <x:f>IF(C288="","",MIN(MAX(0,D288+E288-F288-G288),MAX(0,IF(MONATSBUDGET!$C$21="",0,MONATSBUDGET!$C$21)-SUM(F280:F299)-SUM(H280:H287))))</x:f>
      </x:c>
      <x:c r="I288" s="88" t="str">
        <x:f>IF(C288="","",MAX(0,ROUND(D288+E288-F288-G288-H288,2)))</x:f>
      </x:c>
      <x:c r="J288" s="88" t="str">
        <x:f>IF(C288="","",F288+G288+H288)</x:f>
      </x:c>
      <x:c r="K288" s="88" t="str">
        <x:f>IF(C288="","",MAX(0,SUMIFS(SONDERZAHLUNGEN!$E$9:$E$128,SONDERZAHLUNGEN!$B$9:$B$128,C288,SONDERZAHLUNGEN!$C$9:$C$128,A288,SONDERZAHLUNGEN!$H$9:$H$128,"OK",SONDERZAHLUNGEN!$F$9:$F$128,"Ja")-G288))</x:f>
      </x:c>
    </x:row>
    <x:row r="289" ht="19" customHeight="1">
      <x:c r="A289" s="90" t="n">
        <x:f>MONATSBUDGET!$A$21</x:f>
        <x:v>46631</x:v>
      </x:c>
      <x:c r="B289" t="n">
        <x:f>10</x:f>
        <x:v>10</x:v>
      </x:c>
      <x:c r="C289" t="str">
        <x:f>IF($N$18="","",$N$18)</x:f>
      </x:c>
      <x:c r="D289" s="88" t="str">
        <x:f>IF(C289="","",I269)</x:f>
      </x:c>
      <x:c r="E289" s="88" t="str">
        <x:f>IF(C289="","",ROUND(D289*$P$18/12,2))</x:f>
      </x:c>
      <x:c r="F289" s="88" t="str">
        <x:f>IF(C289="","",MIN(D289+E289,$Q$18))</x:f>
      </x:c>
      <x:c r="G289" s="88" t="str">
        <x:f>IF(C289="","",MIN(MAX(0,D289+E289-F289),SUMIFS(SONDERZAHLUNGEN!$E$9:$E$128,SONDERZAHLUNGEN!$B$9:$B$128,C289,SONDERZAHLUNGEN!$C$9:$C$128,A289,SONDERZAHLUNGEN!$H$9:$H$128,"OK",SONDERZAHLUNGEN!$F$9:$F$128,"Ja")))</x:f>
      </x:c>
      <x:c r="H289" s="88" t="str">
        <x:f>IF(C289="","",MIN(MAX(0,D289+E289-F289-G289),MAX(0,IF(MONATSBUDGET!$C$21="",0,MONATSBUDGET!$C$21)-SUM(F280:F299)-SUM(H280:H288))))</x:f>
      </x:c>
      <x:c r="I289" s="88" t="str">
        <x:f>IF(C289="","",MAX(0,ROUND(D289+E289-F289-G289-H289,2)))</x:f>
      </x:c>
      <x:c r="J289" s="88" t="str">
        <x:f>IF(C289="","",F289+G289+H289)</x:f>
      </x:c>
      <x:c r="K289" s="88" t="str">
        <x:f>IF(C289="","",MAX(0,SUMIFS(SONDERZAHLUNGEN!$E$9:$E$128,SONDERZAHLUNGEN!$B$9:$B$128,C289,SONDERZAHLUNGEN!$C$9:$C$128,A289,SONDERZAHLUNGEN!$H$9:$H$128,"OK",SONDERZAHLUNGEN!$F$9:$F$128,"Ja")-G289))</x:f>
      </x:c>
    </x:row>
    <x:row r="290" ht="19" customHeight="1">
      <x:c r="A290" s="90" t="n">
        <x:f>MONATSBUDGET!$A$21</x:f>
        <x:v>46631</x:v>
      </x:c>
      <x:c r="B290" t="n">
        <x:f>11</x:f>
        <x:v>11</x:v>
      </x:c>
      <x:c r="C290" t="str">
        <x:f>IF($N$19="","",$N$19)</x:f>
      </x:c>
      <x:c r="D290" s="88" t="str">
        <x:f>IF(C290="","",I270)</x:f>
      </x:c>
      <x:c r="E290" s="88" t="str">
        <x:f>IF(C290="","",ROUND(D290*$P$19/12,2))</x:f>
      </x:c>
      <x:c r="F290" s="88" t="str">
        <x:f>IF(C290="","",MIN(D290+E290,$Q$19))</x:f>
      </x:c>
      <x:c r="G290" s="88" t="str">
        <x:f>IF(C290="","",MIN(MAX(0,D290+E290-F290),SUMIFS(SONDERZAHLUNGEN!$E$9:$E$128,SONDERZAHLUNGEN!$B$9:$B$128,C290,SONDERZAHLUNGEN!$C$9:$C$128,A290,SONDERZAHLUNGEN!$H$9:$H$128,"OK",SONDERZAHLUNGEN!$F$9:$F$128,"Ja")))</x:f>
      </x:c>
      <x:c r="H290" s="88" t="str">
        <x:f>IF(C290="","",MIN(MAX(0,D290+E290-F290-G290),MAX(0,IF(MONATSBUDGET!$C$21="",0,MONATSBUDGET!$C$21)-SUM(F280:F299)-SUM(H280:H289))))</x:f>
      </x:c>
      <x:c r="I290" s="88" t="str">
        <x:f>IF(C290="","",MAX(0,ROUND(D290+E290-F290-G290-H290,2)))</x:f>
      </x:c>
      <x:c r="J290" s="88" t="str">
        <x:f>IF(C290="","",F290+G290+H290)</x:f>
      </x:c>
      <x:c r="K290" s="88" t="str">
        <x:f>IF(C290="","",MAX(0,SUMIFS(SONDERZAHLUNGEN!$E$9:$E$128,SONDERZAHLUNGEN!$B$9:$B$128,C290,SONDERZAHLUNGEN!$C$9:$C$128,A290,SONDERZAHLUNGEN!$H$9:$H$128,"OK",SONDERZAHLUNGEN!$F$9:$F$128,"Ja")-G290))</x:f>
      </x:c>
    </x:row>
    <x:row r="291" ht="19" customHeight="1">
      <x:c r="A291" s="90" t="n">
        <x:f>MONATSBUDGET!$A$21</x:f>
        <x:v>46631</x:v>
      </x:c>
      <x:c r="B291" t="n">
        <x:f>12</x:f>
        <x:v>12</x:v>
      </x:c>
      <x:c r="C291" t="str">
        <x:f>IF($N$20="","",$N$20)</x:f>
      </x:c>
      <x:c r="D291" s="88" t="str">
        <x:f>IF(C291="","",I271)</x:f>
      </x:c>
      <x:c r="E291" s="88" t="str">
        <x:f>IF(C291="","",ROUND(D291*$P$20/12,2))</x:f>
      </x:c>
      <x:c r="F291" s="88" t="str">
        <x:f>IF(C291="","",MIN(D291+E291,$Q$20))</x:f>
      </x:c>
      <x:c r="G291" s="88" t="str">
        <x:f>IF(C291="","",MIN(MAX(0,D291+E291-F291),SUMIFS(SONDERZAHLUNGEN!$E$9:$E$128,SONDERZAHLUNGEN!$B$9:$B$128,C291,SONDERZAHLUNGEN!$C$9:$C$128,A291,SONDERZAHLUNGEN!$H$9:$H$128,"OK",SONDERZAHLUNGEN!$F$9:$F$128,"Ja")))</x:f>
      </x:c>
      <x:c r="H291" s="88" t="str">
        <x:f>IF(C291="","",MIN(MAX(0,D291+E291-F291-G291),MAX(0,IF(MONATSBUDGET!$C$21="",0,MONATSBUDGET!$C$21)-SUM(F280:F299)-SUM(H280:H290))))</x:f>
      </x:c>
      <x:c r="I291" s="88" t="str">
        <x:f>IF(C291="","",MAX(0,ROUND(D291+E291-F291-G291-H291,2)))</x:f>
      </x:c>
      <x:c r="J291" s="88" t="str">
        <x:f>IF(C291="","",F291+G291+H291)</x:f>
      </x:c>
      <x:c r="K291" s="88" t="str">
        <x:f>IF(C291="","",MAX(0,SUMIFS(SONDERZAHLUNGEN!$E$9:$E$128,SONDERZAHLUNGEN!$B$9:$B$128,C291,SONDERZAHLUNGEN!$C$9:$C$128,A291,SONDERZAHLUNGEN!$H$9:$H$128,"OK",SONDERZAHLUNGEN!$F$9:$F$128,"Ja")-G291))</x:f>
      </x:c>
    </x:row>
    <x:row r="292" ht="19" customHeight="1">
      <x:c r="A292" s="90" t="n">
        <x:f>MONATSBUDGET!$A$21</x:f>
        <x:v>46631</x:v>
      </x:c>
      <x:c r="B292" t="n">
        <x:f>13</x:f>
        <x:v>13</x:v>
      </x:c>
      <x:c r="C292" t="str">
        <x:f>IF($N$21="","",$N$21)</x:f>
      </x:c>
      <x:c r="D292" s="88" t="str">
        <x:f>IF(C292="","",I272)</x:f>
      </x:c>
      <x:c r="E292" s="88" t="str">
        <x:f>IF(C292="","",ROUND(D292*$P$21/12,2))</x:f>
      </x:c>
      <x:c r="F292" s="88" t="str">
        <x:f>IF(C292="","",MIN(D292+E292,$Q$21))</x:f>
      </x:c>
      <x:c r="G292" s="88" t="str">
        <x:f>IF(C292="","",MIN(MAX(0,D292+E292-F292),SUMIFS(SONDERZAHLUNGEN!$E$9:$E$128,SONDERZAHLUNGEN!$B$9:$B$128,C292,SONDERZAHLUNGEN!$C$9:$C$128,A292,SONDERZAHLUNGEN!$H$9:$H$128,"OK",SONDERZAHLUNGEN!$F$9:$F$128,"Ja")))</x:f>
      </x:c>
      <x:c r="H292" s="88" t="str">
        <x:f>IF(C292="","",MIN(MAX(0,D292+E292-F292-G292),MAX(0,IF(MONATSBUDGET!$C$21="",0,MONATSBUDGET!$C$21)-SUM(F280:F299)-SUM(H280:H291))))</x:f>
      </x:c>
      <x:c r="I292" s="88" t="str">
        <x:f>IF(C292="","",MAX(0,ROUND(D292+E292-F292-G292-H292,2)))</x:f>
      </x:c>
      <x:c r="J292" s="88" t="str">
        <x:f>IF(C292="","",F292+G292+H292)</x:f>
      </x:c>
      <x:c r="K292" s="88" t="str">
        <x:f>IF(C292="","",MAX(0,SUMIFS(SONDERZAHLUNGEN!$E$9:$E$128,SONDERZAHLUNGEN!$B$9:$B$128,C292,SONDERZAHLUNGEN!$C$9:$C$128,A292,SONDERZAHLUNGEN!$H$9:$H$128,"OK",SONDERZAHLUNGEN!$F$9:$F$128,"Ja")-G292))</x:f>
      </x:c>
    </x:row>
    <x:row r="293" ht="19" customHeight="1">
      <x:c r="A293" s="90" t="n">
        <x:f>MONATSBUDGET!$A$21</x:f>
        <x:v>46631</x:v>
      </x:c>
      <x:c r="B293" t="n">
        <x:f>14</x:f>
        <x:v>14</x:v>
      </x:c>
      <x:c r="C293" t="str">
        <x:f>IF($N$22="","",$N$22)</x:f>
      </x:c>
      <x:c r="D293" s="88" t="str">
        <x:f>IF(C293="","",I273)</x:f>
      </x:c>
      <x:c r="E293" s="88" t="str">
        <x:f>IF(C293="","",ROUND(D293*$P$22/12,2))</x:f>
      </x:c>
      <x:c r="F293" s="88" t="str">
        <x:f>IF(C293="","",MIN(D293+E293,$Q$22))</x:f>
      </x:c>
      <x:c r="G293" s="88" t="str">
        <x:f>IF(C293="","",MIN(MAX(0,D293+E293-F293),SUMIFS(SONDERZAHLUNGEN!$E$9:$E$128,SONDERZAHLUNGEN!$B$9:$B$128,C293,SONDERZAHLUNGEN!$C$9:$C$128,A293,SONDERZAHLUNGEN!$H$9:$H$128,"OK",SONDERZAHLUNGEN!$F$9:$F$128,"Ja")))</x:f>
      </x:c>
      <x:c r="H293" s="88" t="str">
        <x:f>IF(C293="","",MIN(MAX(0,D293+E293-F293-G293),MAX(0,IF(MONATSBUDGET!$C$21="",0,MONATSBUDGET!$C$21)-SUM(F280:F299)-SUM(H280:H292))))</x:f>
      </x:c>
      <x:c r="I293" s="88" t="str">
        <x:f>IF(C293="","",MAX(0,ROUND(D293+E293-F293-G293-H293,2)))</x:f>
      </x:c>
      <x:c r="J293" s="88" t="str">
        <x:f>IF(C293="","",F293+G293+H293)</x:f>
      </x:c>
      <x:c r="K293" s="88" t="str">
        <x:f>IF(C293="","",MAX(0,SUMIFS(SONDERZAHLUNGEN!$E$9:$E$128,SONDERZAHLUNGEN!$B$9:$B$128,C293,SONDERZAHLUNGEN!$C$9:$C$128,A293,SONDERZAHLUNGEN!$H$9:$H$128,"OK",SONDERZAHLUNGEN!$F$9:$F$128,"Ja")-G293))</x:f>
      </x:c>
    </x:row>
    <x:row r="294" ht="19" customHeight="1">
      <x:c r="A294" s="90" t="n">
        <x:f>MONATSBUDGET!$A$21</x:f>
        <x:v>46631</x:v>
      </x:c>
      <x:c r="B294" t="n">
        <x:f>15</x:f>
        <x:v>15</x:v>
      </x:c>
      <x:c r="C294" t="str">
        <x:f>IF($N$23="","",$N$23)</x:f>
      </x:c>
      <x:c r="D294" s="88" t="str">
        <x:f>IF(C294="","",I274)</x:f>
      </x:c>
      <x:c r="E294" s="88" t="str">
        <x:f>IF(C294="","",ROUND(D294*$P$23/12,2))</x:f>
      </x:c>
      <x:c r="F294" s="88" t="str">
        <x:f>IF(C294="","",MIN(D294+E294,$Q$23))</x:f>
      </x:c>
      <x:c r="G294" s="88" t="str">
        <x:f>IF(C294="","",MIN(MAX(0,D294+E294-F294),SUMIFS(SONDERZAHLUNGEN!$E$9:$E$128,SONDERZAHLUNGEN!$B$9:$B$128,C294,SONDERZAHLUNGEN!$C$9:$C$128,A294,SONDERZAHLUNGEN!$H$9:$H$128,"OK",SONDERZAHLUNGEN!$F$9:$F$128,"Ja")))</x:f>
      </x:c>
      <x:c r="H294" s="88" t="str">
        <x:f>IF(C294="","",MIN(MAX(0,D294+E294-F294-G294),MAX(0,IF(MONATSBUDGET!$C$21="",0,MONATSBUDGET!$C$21)-SUM(F280:F299)-SUM(H280:H293))))</x:f>
      </x:c>
      <x:c r="I294" s="88" t="str">
        <x:f>IF(C294="","",MAX(0,ROUND(D294+E294-F294-G294-H294,2)))</x:f>
      </x:c>
      <x:c r="J294" s="88" t="str">
        <x:f>IF(C294="","",F294+G294+H294)</x:f>
      </x:c>
      <x:c r="K294" s="88" t="str">
        <x:f>IF(C294="","",MAX(0,SUMIFS(SONDERZAHLUNGEN!$E$9:$E$128,SONDERZAHLUNGEN!$B$9:$B$128,C294,SONDERZAHLUNGEN!$C$9:$C$128,A294,SONDERZAHLUNGEN!$H$9:$H$128,"OK",SONDERZAHLUNGEN!$F$9:$F$128,"Ja")-G294))</x:f>
      </x:c>
    </x:row>
    <x:row r="295" ht="19" customHeight="1">
      <x:c r="A295" s="90" t="n">
        <x:f>MONATSBUDGET!$A$21</x:f>
        <x:v>46631</x:v>
      </x:c>
      <x:c r="B295" t="n">
        <x:f>16</x:f>
        <x:v>16</x:v>
      </x:c>
      <x:c r="C295" t="str">
        <x:f>IF($N$24="","",$N$24)</x:f>
      </x:c>
      <x:c r="D295" s="88" t="str">
        <x:f>IF(C295="","",I275)</x:f>
      </x:c>
      <x:c r="E295" s="88" t="str">
        <x:f>IF(C295="","",ROUND(D295*$P$24/12,2))</x:f>
      </x:c>
      <x:c r="F295" s="88" t="str">
        <x:f>IF(C295="","",MIN(D295+E295,$Q$24))</x:f>
      </x:c>
      <x:c r="G295" s="88" t="str">
        <x:f>IF(C295="","",MIN(MAX(0,D295+E295-F295),SUMIFS(SONDERZAHLUNGEN!$E$9:$E$128,SONDERZAHLUNGEN!$B$9:$B$128,C295,SONDERZAHLUNGEN!$C$9:$C$128,A295,SONDERZAHLUNGEN!$H$9:$H$128,"OK",SONDERZAHLUNGEN!$F$9:$F$128,"Ja")))</x:f>
      </x:c>
      <x:c r="H295" s="88" t="str">
        <x:f>IF(C295="","",MIN(MAX(0,D295+E295-F295-G295),MAX(0,IF(MONATSBUDGET!$C$21="",0,MONATSBUDGET!$C$21)-SUM(F280:F299)-SUM(H280:H294))))</x:f>
      </x:c>
      <x:c r="I295" s="88" t="str">
        <x:f>IF(C295="","",MAX(0,ROUND(D295+E295-F295-G295-H295,2)))</x:f>
      </x:c>
      <x:c r="J295" s="88" t="str">
        <x:f>IF(C295="","",F295+G295+H295)</x:f>
      </x:c>
      <x:c r="K295" s="88" t="str">
        <x:f>IF(C295="","",MAX(0,SUMIFS(SONDERZAHLUNGEN!$E$9:$E$128,SONDERZAHLUNGEN!$B$9:$B$128,C295,SONDERZAHLUNGEN!$C$9:$C$128,A295,SONDERZAHLUNGEN!$H$9:$H$128,"OK",SONDERZAHLUNGEN!$F$9:$F$128,"Ja")-G295))</x:f>
      </x:c>
    </x:row>
    <x:row r="296" ht="19" customHeight="1">
      <x:c r="A296" s="90" t="n">
        <x:f>MONATSBUDGET!$A$21</x:f>
        <x:v>46631</x:v>
      </x:c>
      <x:c r="B296" t="n">
        <x:f>17</x:f>
        <x:v>17</x:v>
      </x:c>
      <x:c r="C296" t="str">
        <x:f>IF($N$25="","",$N$25)</x:f>
      </x:c>
      <x:c r="D296" s="88" t="str">
        <x:f>IF(C296="","",I276)</x:f>
      </x:c>
      <x:c r="E296" s="88" t="str">
        <x:f>IF(C296="","",ROUND(D296*$P$25/12,2))</x:f>
      </x:c>
      <x:c r="F296" s="88" t="str">
        <x:f>IF(C296="","",MIN(D296+E296,$Q$25))</x:f>
      </x:c>
      <x:c r="G296" s="88" t="str">
        <x:f>IF(C296="","",MIN(MAX(0,D296+E296-F296),SUMIFS(SONDERZAHLUNGEN!$E$9:$E$128,SONDERZAHLUNGEN!$B$9:$B$128,C296,SONDERZAHLUNGEN!$C$9:$C$128,A296,SONDERZAHLUNGEN!$H$9:$H$128,"OK",SONDERZAHLUNGEN!$F$9:$F$128,"Ja")))</x:f>
      </x:c>
      <x:c r="H296" s="88" t="str">
        <x:f>IF(C296="","",MIN(MAX(0,D296+E296-F296-G296),MAX(0,IF(MONATSBUDGET!$C$21="",0,MONATSBUDGET!$C$21)-SUM(F280:F299)-SUM(H280:H295))))</x:f>
      </x:c>
      <x:c r="I296" s="88" t="str">
        <x:f>IF(C296="","",MAX(0,ROUND(D296+E296-F296-G296-H296,2)))</x:f>
      </x:c>
      <x:c r="J296" s="88" t="str">
        <x:f>IF(C296="","",F296+G296+H296)</x:f>
      </x:c>
      <x:c r="K296" s="88" t="str">
        <x:f>IF(C296="","",MAX(0,SUMIFS(SONDERZAHLUNGEN!$E$9:$E$128,SONDERZAHLUNGEN!$B$9:$B$128,C296,SONDERZAHLUNGEN!$C$9:$C$128,A296,SONDERZAHLUNGEN!$H$9:$H$128,"OK",SONDERZAHLUNGEN!$F$9:$F$128,"Ja")-G296))</x:f>
      </x:c>
    </x:row>
    <x:row r="297" ht="19" customHeight="1">
      <x:c r="A297" s="90" t="n">
        <x:f>MONATSBUDGET!$A$21</x:f>
        <x:v>46631</x:v>
      </x:c>
      <x:c r="B297" t="n">
        <x:f>18</x:f>
        <x:v>18</x:v>
      </x:c>
      <x:c r="C297" t="str">
        <x:f>IF($N$26="","",$N$26)</x:f>
      </x:c>
      <x:c r="D297" s="88" t="str">
        <x:f>IF(C297="","",I277)</x:f>
      </x:c>
      <x:c r="E297" s="88" t="str">
        <x:f>IF(C297="","",ROUND(D297*$P$26/12,2))</x:f>
      </x:c>
      <x:c r="F297" s="88" t="str">
        <x:f>IF(C297="","",MIN(D297+E297,$Q$26))</x:f>
      </x:c>
      <x:c r="G297" s="88" t="str">
        <x:f>IF(C297="","",MIN(MAX(0,D297+E297-F297),SUMIFS(SONDERZAHLUNGEN!$E$9:$E$128,SONDERZAHLUNGEN!$B$9:$B$128,C297,SONDERZAHLUNGEN!$C$9:$C$128,A297,SONDERZAHLUNGEN!$H$9:$H$128,"OK",SONDERZAHLUNGEN!$F$9:$F$128,"Ja")))</x:f>
      </x:c>
      <x:c r="H297" s="88" t="str">
        <x:f>IF(C297="","",MIN(MAX(0,D297+E297-F297-G297),MAX(0,IF(MONATSBUDGET!$C$21="",0,MONATSBUDGET!$C$21)-SUM(F280:F299)-SUM(H280:H296))))</x:f>
      </x:c>
      <x:c r="I297" s="88" t="str">
        <x:f>IF(C297="","",MAX(0,ROUND(D297+E297-F297-G297-H297,2)))</x:f>
      </x:c>
      <x:c r="J297" s="88" t="str">
        <x:f>IF(C297="","",F297+G297+H297)</x:f>
      </x:c>
      <x:c r="K297" s="88" t="str">
        <x:f>IF(C297="","",MAX(0,SUMIFS(SONDERZAHLUNGEN!$E$9:$E$128,SONDERZAHLUNGEN!$B$9:$B$128,C297,SONDERZAHLUNGEN!$C$9:$C$128,A297,SONDERZAHLUNGEN!$H$9:$H$128,"OK",SONDERZAHLUNGEN!$F$9:$F$128,"Ja")-G297))</x:f>
      </x:c>
    </x:row>
    <x:row r="298" ht="19" customHeight="1">
      <x:c r="A298" s="90" t="n">
        <x:f>MONATSBUDGET!$A$21</x:f>
        <x:v>46631</x:v>
      </x:c>
      <x:c r="B298" t="n">
        <x:f>19</x:f>
        <x:v>19</x:v>
      </x:c>
      <x:c r="C298" t="str">
        <x:f>IF($N$27="","",$N$27)</x:f>
      </x:c>
      <x:c r="D298" s="88" t="str">
        <x:f>IF(C298="","",I278)</x:f>
      </x:c>
      <x:c r="E298" s="88" t="str">
        <x:f>IF(C298="","",ROUND(D298*$P$27/12,2))</x:f>
      </x:c>
      <x:c r="F298" s="88" t="str">
        <x:f>IF(C298="","",MIN(D298+E298,$Q$27))</x:f>
      </x:c>
      <x:c r="G298" s="88" t="str">
        <x:f>IF(C298="","",MIN(MAX(0,D298+E298-F298),SUMIFS(SONDERZAHLUNGEN!$E$9:$E$128,SONDERZAHLUNGEN!$B$9:$B$128,C298,SONDERZAHLUNGEN!$C$9:$C$128,A298,SONDERZAHLUNGEN!$H$9:$H$128,"OK",SONDERZAHLUNGEN!$F$9:$F$128,"Ja")))</x:f>
      </x:c>
      <x:c r="H298" s="88" t="str">
        <x:f>IF(C298="","",MIN(MAX(0,D298+E298-F298-G298),MAX(0,IF(MONATSBUDGET!$C$21="",0,MONATSBUDGET!$C$21)-SUM(F280:F299)-SUM(H280:H297))))</x:f>
      </x:c>
      <x:c r="I298" s="88" t="str">
        <x:f>IF(C298="","",MAX(0,ROUND(D298+E298-F298-G298-H298,2)))</x:f>
      </x:c>
      <x:c r="J298" s="88" t="str">
        <x:f>IF(C298="","",F298+G298+H298)</x:f>
      </x:c>
      <x:c r="K298" s="88" t="str">
        <x:f>IF(C298="","",MAX(0,SUMIFS(SONDERZAHLUNGEN!$E$9:$E$128,SONDERZAHLUNGEN!$B$9:$B$128,C298,SONDERZAHLUNGEN!$C$9:$C$128,A298,SONDERZAHLUNGEN!$H$9:$H$128,"OK",SONDERZAHLUNGEN!$F$9:$F$128,"Ja")-G298))</x:f>
      </x:c>
    </x:row>
    <x:row r="299" ht="19" customHeight="1">
      <x:c r="A299" s="90" t="n">
        <x:f>MONATSBUDGET!$A$21</x:f>
        <x:v>46631</x:v>
      </x:c>
      <x:c r="B299" t="n">
        <x:f>20</x:f>
        <x:v>20</x:v>
      </x:c>
      <x:c r="C299" t="str">
        <x:f>IF($N$28="","",$N$28)</x:f>
      </x:c>
      <x:c r="D299" s="88" t="str">
        <x:f>IF(C299="","",I279)</x:f>
      </x:c>
      <x:c r="E299" s="88" t="str">
        <x:f>IF(C299="","",ROUND(D299*$P$28/12,2))</x:f>
      </x:c>
      <x:c r="F299" s="88" t="str">
        <x:f>IF(C299="","",MIN(D299+E299,$Q$28))</x:f>
      </x:c>
      <x:c r="G299" s="88" t="str">
        <x:f>IF(C299="","",MIN(MAX(0,D299+E299-F299),SUMIFS(SONDERZAHLUNGEN!$E$9:$E$128,SONDERZAHLUNGEN!$B$9:$B$128,C299,SONDERZAHLUNGEN!$C$9:$C$128,A299,SONDERZAHLUNGEN!$H$9:$H$128,"OK",SONDERZAHLUNGEN!$F$9:$F$128,"Ja")))</x:f>
      </x:c>
      <x:c r="H299" s="88" t="str">
        <x:f>IF(C299="","",MIN(MAX(0,D299+E299-F299-G299),MAX(0,IF(MONATSBUDGET!$C$21="",0,MONATSBUDGET!$C$21)-SUM(F280:F299)-SUM(H280:H298))))</x:f>
      </x:c>
      <x:c r="I299" s="88" t="str">
        <x:f>IF(C299="","",MAX(0,ROUND(D299+E299-F299-G299-H299,2)))</x:f>
      </x:c>
      <x:c r="J299" s="88" t="str">
        <x:f>IF(C299="","",F299+G299+H299)</x:f>
      </x:c>
      <x:c r="K299" s="88" t="str">
        <x:f>IF(C299="","",MAX(0,SUMIFS(SONDERZAHLUNGEN!$E$9:$E$128,SONDERZAHLUNGEN!$B$9:$B$128,C299,SONDERZAHLUNGEN!$C$9:$C$128,A299,SONDERZAHLUNGEN!$H$9:$H$128,"OK",SONDERZAHLUNGEN!$F$9:$F$128,"Ja")-G299))</x:f>
      </x:c>
    </x:row>
    <x:row r="300" ht="19" customHeight="1">
      <x:c r="A300" s="90" t="n">
        <x:f>MONATSBUDGET!$A$22</x:f>
        <x:v>46661</x:v>
      </x:c>
      <x:c r="B300" t="n">
        <x:f>1</x:f>
        <x:v>1</x:v>
      </x:c>
      <x:c r="C300" t="str">
        <x:f>IF($N$9="","",$N$9)</x:f>
      </x:c>
      <x:c r="D300" s="88" t="str">
        <x:f>IF(C300="","",I280)</x:f>
      </x:c>
      <x:c r="E300" s="88" t="str">
        <x:f>IF(C300="","",ROUND(D300*$P$9/12,2))</x:f>
      </x:c>
      <x:c r="F300" s="88" t="str">
        <x:f>IF(C300="","",MIN(D300+E300,$Q$9))</x:f>
      </x:c>
      <x:c r="G300" s="88" t="str">
        <x:f>IF(C300="","",MIN(MAX(0,D300+E300-F300),SUMIFS(SONDERZAHLUNGEN!$E$9:$E$128,SONDERZAHLUNGEN!$B$9:$B$128,C300,SONDERZAHLUNGEN!$C$9:$C$128,A300,SONDERZAHLUNGEN!$H$9:$H$128,"OK",SONDERZAHLUNGEN!$F$9:$F$128,"Ja")))</x:f>
      </x:c>
      <x:c r="H300" s="88" t="str">
        <x:f>IF(C300="","",MIN(MAX(0,D300+E300-F300-G300),MAX(0,IF(MONATSBUDGET!$C$22="",0,MONATSBUDGET!$C$22)-SUM(F300:F319)-0)))</x:f>
      </x:c>
      <x:c r="I300" s="88" t="str">
        <x:f>IF(C300="","",MAX(0,ROUND(D300+E300-F300-G300-H300,2)))</x:f>
      </x:c>
      <x:c r="J300" s="88" t="str">
        <x:f>IF(C300="","",F300+G300+H300)</x:f>
      </x:c>
      <x:c r="K300" s="88" t="str">
        <x:f>IF(C300="","",MAX(0,SUMIFS(SONDERZAHLUNGEN!$E$9:$E$128,SONDERZAHLUNGEN!$B$9:$B$128,C300,SONDERZAHLUNGEN!$C$9:$C$128,A300,SONDERZAHLUNGEN!$H$9:$H$128,"OK",SONDERZAHLUNGEN!$F$9:$F$128,"Ja")-G300))</x:f>
      </x:c>
    </x:row>
    <x:row r="301" ht="19" customHeight="1">
      <x:c r="A301" s="90" t="n">
        <x:f>MONATSBUDGET!$A$22</x:f>
        <x:v>46661</x:v>
      </x:c>
      <x:c r="B301" t="n">
        <x:f>2</x:f>
        <x:v>2</x:v>
      </x:c>
      <x:c r="C301" t="str">
        <x:f>IF($N$10="","",$N$10)</x:f>
      </x:c>
      <x:c r="D301" s="88" t="str">
        <x:f>IF(C301="","",I281)</x:f>
      </x:c>
      <x:c r="E301" s="88" t="str">
        <x:f>IF(C301="","",ROUND(D301*$P$10/12,2))</x:f>
      </x:c>
      <x:c r="F301" s="88" t="str">
        <x:f>IF(C301="","",MIN(D301+E301,$Q$10))</x:f>
      </x:c>
      <x:c r="G301" s="88" t="str">
        <x:f>IF(C301="","",MIN(MAX(0,D301+E301-F301),SUMIFS(SONDERZAHLUNGEN!$E$9:$E$128,SONDERZAHLUNGEN!$B$9:$B$128,C301,SONDERZAHLUNGEN!$C$9:$C$128,A301,SONDERZAHLUNGEN!$H$9:$H$128,"OK",SONDERZAHLUNGEN!$F$9:$F$128,"Ja")))</x:f>
      </x:c>
      <x:c r="H301" s="88" t="str">
        <x:f>IF(C301="","",MIN(MAX(0,D301+E301-F301-G301),MAX(0,IF(MONATSBUDGET!$C$22="",0,MONATSBUDGET!$C$22)-SUM(F300:F319)-SUM(H300:H300))))</x:f>
      </x:c>
      <x:c r="I301" s="88" t="str">
        <x:f>IF(C301="","",MAX(0,ROUND(D301+E301-F301-G301-H301,2)))</x:f>
      </x:c>
      <x:c r="J301" s="88" t="str">
        <x:f>IF(C301="","",F301+G301+H301)</x:f>
      </x:c>
      <x:c r="K301" s="88" t="str">
        <x:f>IF(C301="","",MAX(0,SUMIFS(SONDERZAHLUNGEN!$E$9:$E$128,SONDERZAHLUNGEN!$B$9:$B$128,C301,SONDERZAHLUNGEN!$C$9:$C$128,A301,SONDERZAHLUNGEN!$H$9:$H$128,"OK",SONDERZAHLUNGEN!$F$9:$F$128,"Ja")-G301))</x:f>
      </x:c>
    </x:row>
    <x:row r="302" ht="19" customHeight="1">
      <x:c r="A302" s="90" t="n">
        <x:f>MONATSBUDGET!$A$22</x:f>
        <x:v>46661</x:v>
      </x:c>
      <x:c r="B302" t="n">
        <x:f>3</x:f>
        <x:v>3</x:v>
      </x:c>
      <x:c r="C302" t="str">
        <x:f>IF($N$11="","",$N$11)</x:f>
      </x:c>
      <x:c r="D302" s="88" t="str">
        <x:f>IF(C302="","",I282)</x:f>
      </x:c>
      <x:c r="E302" s="88" t="str">
        <x:f>IF(C302="","",ROUND(D302*$P$11/12,2))</x:f>
      </x:c>
      <x:c r="F302" s="88" t="str">
        <x:f>IF(C302="","",MIN(D302+E302,$Q$11))</x:f>
      </x:c>
      <x:c r="G302" s="88" t="str">
        <x:f>IF(C302="","",MIN(MAX(0,D302+E302-F302),SUMIFS(SONDERZAHLUNGEN!$E$9:$E$128,SONDERZAHLUNGEN!$B$9:$B$128,C302,SONDERZAHLUNGEN!$C$9:$C$128,A302,SONDERZAHLUNGEN!$H$9:$H$128,"OK",SONDERZAHLUNGEN!$F$9:$F$128,"Ja")))</x:f>
      </x:c>
      <x:c r="H302" s="88" t="str">
        <x:f>IF(C302="","",MIN(MAX(0,D302+E302-F302-G302),MAX(0,IF(MONATSBUDGET!$C$22="",0,MONATSBUDGET!$C$22)-SUM(F300:F319)-SUM(H300:H301))))</x:f>
      </x:c>
      <x:c r="I302" s="88" t="str">
        <x:f>IF(C302="","",MAX(0,ROUND(D302+E302-F302-G302-H302,2)))</x:f>
      </x:c>
      <x:c r="J302" s="88" t="str">
        <x:f>IF(C302="","",F302+G302+H302)</x:f>
      </x:c>
      <x:c r="K302" s="88" t="str">
        <x:f>IF(C302="","",MAX(0,SUMIFS(SONDERZAHLUNGEN!$E$9:$E$128,SONDERZAHLUNGEN!$B$9:$B$128,C302,SONDERZAHLUNGEN!$C$9:$C$128,A302,SONDERZAHLUNGEN!$H$9:$H$128,"OK",SONDERZAHLUNGEN!$F$9:$F$128,"Ja")-G302))</x:f>
      </x:c>
    </x:row>
    <x:row r="303" ht="19" customHeight="1">
      <x:c r="A303" s="90" t="n">
        <x:f>MONATSBUDGET!$A$22</x:f>
        <x:v>46661</x:v>
      </x:c>
      <x:c r="B303" t="n">
        <x:f>4</x:f>
        <x:v>4</x:v>
      </x:c>
      <x:c r="C303" t="str">
        <x:f>IF($N$12="","",$N$12)</x:f>
      </x:c>
      <x:c r="D303" s="88" t="str">
        <x:f>IF(C303="","",I283)</x:f>
      </x:c>
      <x:c r="E303" s="88" t="str">
        <x:f>IF(C303="","",ROUND(D303*$P$12/12,2))</x:f>
      </x:c>
      <x:c r="F303" s="88" t="str">
        <x:f>IF(C303="","",MIN(D303+E303,$Q$12))</x:f>
      </x:c>
      <x:c r="G303" s="88" t="str">
        <x:f>IF(C303="","",MIN(MAX(0,D303+E303-F303),SUMIFS(SONDERZAHLUNGEN!$E$9:$E$128,SONDERZAHLUNGEN!$B$9:$B$128,C303,SONDERZAHLUNGEN!$C$9:$C$128,A303,SONDERZAHLUNGEN!$H$9:$H$128,"OK",SONDERZAHLUNGEN!$F$9:$F$128,"Ja")))</x:f>
      </x:c>
      <x:c r="H303" s="88" t="str">
        <x:f>IF(C303="","",MIN(MAX(0,D303+E303-F303-G303),MAX(0,IF(MONATSBUDGET!$C$22="",0,MONATSBUDGET!$C$22)-SUM(F300:F319)-SUM(H300:H302))))</x:f>
      </x:c>
      <x:c r="I303" s="88" t="str">
        <x:f>IF(C303="","",MAX(0,ROUND(D303+E303-F303-G303-H303,2)))</x:f>
      </x:c>
      <x:c r="J303" s="88" t="str">
        <x:f>IF(C303="","",F303+G303+H303)</x:f>
      </x:c>
      <x:c r="K303" s="88" t="str">
        <x:f>IF(C303="","",MAX(0,SUMIFS(SONDERZAHLUNGEN!$E$9:$E$128,SONDERZAHLUNGEN!$B$9:$B$128,C303,SONDERZAHLUNGEN!$C$9:$C$128,A303,SONDERZAHLUNGEN!$H$9:$H$128,"OK",SONDERZAHLUNGEN!$F$9:$F$128,"Ja")-G303))</x:f>
      </x:c>
    </x:row>
    <x:row r="304" ht="19" customHeight="1">
      <x:c r="A304" s="90" t="n">
        <x:f>MONATSBUDGET!$A$22</x:f>
        <x:v>46661</x:v>
      </x:c>
      <x:c r="B304" t="n">
        <x:f>5</x:f>
        <x:v>5</x:v>
      </x:c>
      <x:c r="C304" t="str">
        <x:f>IF($N$13="","",$N$13)</x:f>
      </x:c>
      <x:c r="D304" s="88" t="str">
        <x:f>IF(C304="","",I284)</x:f>
      </x:c>
      <x:c r="E304" s="88" t="str">
        <x:f>IF(C304="","",ROUND(D304*$P$13/12,2))</x:f>
      </x:c>
      <x:c r="F304" s="88" t="str">
        <x:f>IF(C304="","",MIN(D304+E304,$Q$13))</x:f>
      </x:c>
      <x:c r="G304" s="88" t="str">
        <x:f>IF(C304="","",MIN(MAX(0,D304+E304-F304),SUMIFS(SONDERZAHLUNGEN!$E$9:$E$128,SONDERZAHLUNGEN!$B$9:$B$128,C304,SONDERZAHLUNGEN!$C$9:$C$128,A304,SONDERZAHLUNGEN!$H$9:$H$128,"OK",SONDERZAHLUNGEN!$F$9:$F$128,"Ja")))</x:f>
      </x:c>
      <x:c r="H304" s="88" t="str">
        <x:f>IF(C304="","",MIN(MAX(0,D304+E304-F304-G304),MAX(0,IF(MONATSBUDGET!$C$22="",0,MONATSBUDGET!$C$22)-SUM(F300:F319)-SUM(H300:H303))))</x:f>
      </x:c>
      <x:c r="I304" s="88" t="str">
        <x:f>IF(C304="","",MAX(0,ROUND(D304+E304-F304-G304-H304,2)))</x:f>
      </x:c>
      <x:c r="J304" s="88" t="str">
        <x:f>IF(C304="","",F304+G304+H304)</x:f>
      </x:c>
      <x:c r="K304" s="88" t="str">
        <x:f>IF(C304="","",MAX(0,SUMIFS(SONDERZAHLUNGEN!$E$9:$E$128,SONDERZAHLUNGEN!$B$9:$B$128,C304,SONDERZAHLUNGEN!$C$9:$C$128,A304,SONDERZAHLUNGEN!$H$9:$H$128,"OK",SONDERZAHLUNGEN!$F$9:$F$128,"Ja")-G304))</x:f>
      </x:c>
    </x:row>
    <x:row r="305" ht="19" customHeight="1">
      <x:c r="A305" s="90" t="n">
        <x:f>MONATSBUDGET!$A$22</x:f>
        <x:v>46661</x:v>
      </x:c>
      <x:c r="B305" t="n">
        <x:f>6</x:f>
        <x:v>6</x:v>
      </x:c>
      <x:c r="C305" t="str">
        <x:f>IF($N$14="","",$N$14)</x:f>
      </x:c>
      <x:c r="D305" s="88" t="str">
        <x:f>IF(C305="","",I285)</x:f>
      </x:c>
      <x:c r="E305" s="88" t="str">
        <x:f>IF(C305="","",ROUND(D305*$P$14/12,2))</x:f>
      </x:c>
      <x:c r="F305" s="88" t="str">
        <x:f>IF(C305="","",MIN(D305+E305,$Q$14))</x:f>
      </x:c>
      <x:c r="G305" s="88" t="str">
        <x:f>IF(C305="","",MIN(MAX(0,D305+E305-F305),SUMIFS(SONDERZAHLUNGEN!$E$9:$E$128,SONDERZAHLUNGEN!$B$9:$B$128,C305,SONDERZAHLUNGEN!$C$9:$C$128,A305,SONDERZAHLUNGEN!$H$9:$H$128,"OK",SONDERZAHLUNGEN!$F$9:$F$128,"Ja")))</x:f>
      </x:c>
      <x:c r="H305" s="88" t="str">
        <x:f>IF(C305="","",MIN(MAX(0,D305+E305-F305-G305),MAX(0,IF(MONATSBUDGET!$C$22="",0,MONATSBUDGET!$C$22)-SUM(F300:F319)-SUM(H300:H304))))</x:f>
      </x:c>
      <x:c r="I305" s="88" t="str">
        <x:f>IF(C305="","",MAX(0,ROUND(D305+E305-F305-G305-H305,2)))</x:f>
      </x:c>
      <x:c r="J305" s="88" t="str">
        <x:f>IF(C305="","",F305+G305+H305)</x:f>
      </x:c>
      <x:c r="K305" s="88" t="str">
        <x:f>IF(C305="","",MAX(0,SUMIFS(SONDERZAHLUNGEN!$E$9:$E$128,SONDERZAHLUNGEN!$B$9:$B$128,C305,SONDERZAHLUNGEN!$C$9:$C$128,A305,SONDERZAHLUNGEN!$H$9:$H$128,"OK",SONDERZAHLUNGEN!$F$9:$F$128,"Ja")-G305))</x:f>
      </x:c>
    </x:row>
    <x:row r="306" ht="19" customHeight="1">
      <x:c r="A306" s="90" t="n">
        <x:f>MONATSBUDGET!$A$22</x:f>
        <x:v>46661</x:v>
      </x:c>
      <x:c r="B306" t="n">
        <x:f>7</x:f>
        <x:v>7</x:v>
      </x:c>
      <x:c r="C306" t="str">
        <x:f>IF($N$15="","",$N$15)</x:f>
      </x:c>
      <x:c r="D306" s="88" t="str">
        <x:f>IF(C306="","",I286)</x:f>
      </x:c>
      <x:c r="E306" s="88" t="str">
        <x:f>IF(C306="","",ROUND(D306*$P$15/12,2))</x:f>
      </x:c>
      <x:c r="F306" s="88" t="str">
        <x:f>IF(C306="","",MIN(D306+E306,$Q$15))</x:f>
      </x:c>
      <x:c r="G306" s="88" t="str">
        <x:f>IF(C306="","",MIN(MAX(0,D306+E306-F306),SUMIFS(SONDERZAHLUNGEN!$E$9:$E$128,SONDERZAHLUNGEN!$B$9:$B$128,C306,SONDERZAHLUNGEN!$C$9:$C$128,A306,SONDERZAHLUNGEN!$H$9:$H$128,"OK",SONDERZAHLUNGEN!$F$9:$F$128,"Ja")))</x:f>
      </x:c>
      <x:c r="H306" s="88" t="str">
        <x:f>IF(C306="","",MIN(MAX(0,D306+E306-F306-G306),MAX(0,IF(MONATSBUDGET!$C$22="",0,MONATSBUDGET!$C$22)-SUM(F300:F319)-SUM(H300:H305))))</x:f>
      </x:c>
      <x:c r="I306" s="88" t="str">
        <x:f>IF(C306="","",MAX(0,ROUND(D306+E306-F306-G306-H306,2)))</x:f>
      </x:c>
      <x:c r="J306" s="88" t="str">
        <x:f>IF(C306="","",F306+G306+H306)</x:f>
      </x:c>
      <x:c r="K306" s="88" t="str">
        <x:f>IF(C306="","",MAX(0,SUMIFS(SONDERZAHLUNGEN!$E$9:$E$128,SONDERZAHLUNGEN!$B$9:$B$128,C306,SONDERZAHLUNGEN!$C$9:$C$128,A306,SONDERZAHLUNGEN!$H$9:$H$128,"OK",SONDERZAHLUNGEN!$F$9:$F$128,"Ja")-G306))</x:f>
      </x:c>
    </x:row>
    <x:row r="307" ht="19" customHeight="1">
      <x:c r="A307" s="90" t="n">
        <x:f>MONATSBUDGET!$A$22</x:f>
        <x:v>46661</x:v>
      </x:c>
      <x:c r="B307" t="n">
        <x:f>8</x:f>
        <x:v>8</x:v>
      </x:c>
      <x:c r="C307" t="str">
        <x:f>IF($N$16="","",$N$16)</x:f>
      </x:c>
      <x:c r="D307" s="88" t="str">
        <x:f>IF(C307="","",I287)</x:f>
      </x:c>
      <x:c r="E307" s="88" t="str">
        <x:f>IF(C307="","",ROUND(D307*$P$16/12,2))</x:f>
      </x:c>
      <x:c r="F307" s="88" t="str">
        <x:f>IF(C307="","",MIN(D307+E307,$Q$16))</x:f>
      </x:c>
      <x:c r="G307" s="88" t="str">
        <x:f>IF(C307="","",MIN(MAX(0,D307+E307-F307),SUMIFS(SONDERZAHLUNGEN!$E$9:$E$128,SONDERZAHLUNGEN!$B$9:$B$128,C307,SONDERZAHLUNGEN!$C$9:$C$128,A307,SONDERZAHLUNGEN!$H$9:$H$128,"OK",SONDERZAHLUNGEN!$F$9:$F$128,"Ja")))</x:f>
      </x:c>
      <x:c r="H307" s="88" t="str">
        <x:f>IF(C307="","",MIN(MAX(0,D307+E307-F307-G307),MAX(0,IF(MONATSBUDGET!$C$22="",0,MONATSBUDGET!$C$22)-SUM(F300:F319)-SUM(H300:H306))))</x:f>
      </x:c>
      <x:c r="I307" s="88" t="str">
        <x:f>IF(C307="","",MAX(0,ROUND(D307+E307-F307-G307-H307,2)))</x:f>
      </x:c>
      <x:c r="J307" s="88" t="str">
        <x:f>IF(C307="","",F307+G307+H307)</x:f>
      </x:c>
      <x:c r="K307" s="88" t="str">
        <x:f>IF(C307="","",MAX(0,SUMIFS(SONDERZAHLUNGEN!$E$9:$E$128,SONDERZAHLUNGEN!$B$9:$B$128,C307,SONDERZAHLUNGEN!$C$9:$C$128,A307,SONDERZAHLUNGEN!$H$9:$H$128,"OK",SONDERZAHLUNGEN!$F$9:$F$128,"Ja")-G307))</x:f>
      </x:c>
    </x:row>
    <x:row r="308" ht="19" customHeight="1">
      <x:c r="A308" s="90" t="n">
        <x:f>MONATSBUDGET!$A$22</x:f>
        <x:v>46661</x:v>
      </x:c>
      <x:c r="B308" t="n">
        <x:f>9</x:f>
        <x:v>9</x:v>
      </x:c>
      <x:c r="C308" t="str">
        <x:f>IF($N$17="","",$N$17)</x:f>
      </x:c>
      <x:c r="D308" s="88" t="str">
        <x:f>IF(C308="","",I288)</x:f>
      </x:c>
      <x:c r="E308" s="88" t="str">
        <x:f>IF(C308="","",ROUND(D308*$P$17/12,2))</x:f>
      </x:c>
      <x:c r="F308" s="88" t="str">
        <x:f>IF(C308="","",MIN(D308+E308,$Q$17))</x:f>
      </x:c>
      <x:c r="G308" s="88" t="str">
        <x:f>IF(C308="","",MIN(MAX(0,D308+E308-F308),SUMIFS(SONDERZAHLUNGEN!$E$9:$E$128,SONDERZAHLUNGEN!$B$9:$B$128,C308,SONDERZAHLUNGEN!$C$9:$C$128,A308,SONDERZAHLUNGEN!$H$9:$H$128,"OK",SONDERZAHLUNGEN!$F$9:$F$128,"Ja")))</x:f>
      </x:c>
      <x:c r="H308" s="88" t="str">
        <x:f>IF(C308="","",MIN(MAX(0,D308+E308-F308-G308),MAX(0,IF(MONATSBUDGET!$C$22="",0,MONATSBUDGET!$C$22)-SUM(F300:F319)-SUM(H300:H307))))</x:f>
      </x:c>
      <x:c r="I308" s="88" t="str">
        <x:f>IF(C308="","",MAX(0,ROUND(D308+E308-F308-G308-H308,2)))</x:f>
      </x:c>
      <x:c r="J308" s="88" t="str">
        <x:f>IF(C308="","",F308+G308+H308)</x:f>
      </x:c>
      <x:c r="K308" s="88" t="str">
        <x:f>IF(C308="","",MAX(0,SUMIFS(SONDERZAHLUNGEN!$E$9:$E$128,SONDERZAHLUNGEN!$B$9:$B$128,C308,SONDERZAHLUNGEN!$C$9:$C$128,A308,SONDERZAHLUNGEN!$H$9:$H$128,"OK",SONDERZAHLUNGEN!$F$9:$F$128,"Ja")-G308))</x:f>
      </x:c>
    </x:row>
    <x:row r="309" ht="19" customHeight="1">
      <x:c r="A309" s="90" t="n">
        <x:f>MONATSBUDGET!$A$22</x:f>
        <x:v>46661</x:v>
      </x:c>
      <x:c r="B309" t="n">
        <x:f>10</x:f>
        <x:v>10</x:v>
      </x:c>
      <x:c r="C309" t="str">
        <x:f>IF($N$18="","",$N$18)</x:f>
      </x:c>
      <x:c r="D309" s="88" t="str">
        <x:f>IF(C309="","",I289)</x:f>
      </x:c>
      <x:c r="E309" s="88" t="str">
        <x:f>IF(C309="","",ROUND(D309*$P$18/12,2))</x:f>
      </x:c>
      <x:c r="F309" s="88" t="str">
        <x:f>IF(C309="","",MIN(D309+E309,$Q$18))</x:f>
      </x:c>
      <x:c r="G309" s="88" t="str">
        <x:f>IF(C309="","",MIN(MAX(0,D309+E309-F309),SUMIFS(SONDERZAHLUNGEN!$E$9:$E$128,SONDERZAHLUNGEN!$B$9:$B$128,C309,SONDERZAHLUNGEN!$C$9:$C$128,A309,SONDERZAHLUNGEN!$H$9:$H$128,"OK",SONDERZAHLUNGEN!$F$9:$F$128,"Ja")))</x:f>
      </x:c>
      <x:c r="H309" s="88" t="str">
        <x:f>IF(C309="","",MIN(MAX(0,D309+E309-F309-G309),MAX(0,IF(MONATSBUDGET!$C$22="",0,MONATSBUDGET!$C$22)-SUM(F300:F319)-SUM(H300:H308))))</x:f>
      </x:c>
      <x:c r="I309" s="88" t="str">
        <x:f>IF(C309="","",MAX(0,ROUND(D309+E309-F309-G309-H309,2)))</x:f>
      </x:c>
      <x:c r="J309" s="88" t="str">
        <x:f>IF(C309="","",F309+G309+H309)</x:f>
      </x:c>
      <x:c r="K309" s="88" t="str">
        <x:f>IF(C309="","",MAX(0,SUMIFS(SONDERZAHLUNGEN!$E$9:$E$128,SONDERZAHLUNGEN!$B$9:$B$128,C309,SONDERZAHLUNGEN!$C$9:$C$128,A309,SONDERZAHLUNGEN!$H$9:$H$128,"OK",SONDERZAHLUNGEN!$F$9:$F$128,"Ja")-G309))</x:f>
      </x:c>
    </x:row>
    <x:row r="310" ht="19" customHeight="1">
      <x:c r="A310" s="90" t="n">
        <x:f>MONATSBUDGET!$A$22</x:f>
        <x:v>46661</x:v>
      </x:c>
      <x:c r="B310" t="n">
        <x:f>11</x:f>
        <x:v>11</x:v>
      </x:c>
      <x:c r="C310" t="str">
        <x:f>IF($N$19="","",$N$19)</x:f>
      </x:c>
      <x:c r="D310" s="88" t="str">
        <x:f>IF(C310="","",I290)</x:f>
      </x:c>
      <x:c r="E310" s="88" t="str">
        <x:f>IF(C310="","",ROUND(D310*$P$19/12,2))</x:f>
      </x:c>
      <x:c r="F310" s="88" t="str">
        <x:f>IF(C310="","",MIN(D310+E310,$Q$19))</x:f>
      </x:c>
      <x:c r="G310" s="88" t="str">
        <x:f>IF(C310="","",MIN(MAX(0,D310+E310-F310),SUMIFS(SONDERZAHLUNGEN!$E$9:$E$128,SONDERZAHLUNGEN!$B$9:$B$128,C310,SONDERZAHLUNGEN!$C$9:$C$128,A310,SONDERZAHLUNGEN!$H$9:$H$128,"OK",SONDERZAHLUNGEN!$F$9:$F$128,"Ja")))</x:f>
      </x:c>
      <x:c r="H310" s="88" t="str">
        <x:f>IF(C310="","",MIN(MAX(0,D310+E310-F310-G310),MAX(0,IF(MONATSBUDGET!$C$22="",0,MONATSBUDGET!$C$22)-SUM(F300:F319)-SUM(H300:H309))))</x:f>
      </x:c>
      <x:c r="I310" s="88" t="str">
        <x:f>IF(C310="","",MAX(0,ROUND(D310+E310-F310-G310-H310,2)))</x:f>
      </x:c>
      <x:c r="J310" s="88" t="str">
        <x:f>IF(C310="","",F310+G310+H310)</x:f>
      </x:c>
      <x:c r="K310" s="88" t="str">
        <x:f>IF(C310="","",MAX(0,SUMIFS(SONDERZAHLUNGEN!$E$9:$E$128,SONDERZAHLUNGEN!$B$9:$B$128,C310,SONDERZAHLUNGEN!$C$9:$C$128,A310,SONDERZAHLUNGEN!$H$9:$H$128,"OK",SONDERZAHLUNGEN!$F$9:$F$128,"Ja")-G310))</x:f>
      </x:c>
    </x:row>
    <x:row r="311" ht="19" customHeight="1">
      <x:c r="A311" s="90" t="n">
        <x:f>MONATSBUDGET!$A$22</x:f>
        <x:v>46661</x:v>
      </x:c>
      <x:c r="B311" t="n">
        <x:f>12</x:f>
        <x:v>12</x:v>
      </x:c>
      <x:c r="C311" t="str">
        <x:f>IF($N$20="","",$N$20)</x:f>
      </x:c>
      <x:c r="D311" s="88" t="str">
        <x:f>IF(C311="","",I291)</x:f>
      </x:c>
      <x:c r="E311" s="88" t="str">
        <x:f>IF(C311="","",ROUND(D311*$P$20/12,2))</x:f>
      </x:c>
      <x:c r="F311" s="88" t="str">
        <x:f>IF(C311="","",MIN(D311+E311,$Q$20))</x:f>
      </x:c>
      <x:c r="G311" s="88" t="str">
        <x:f>IF(C311="","",MIN(MAX(0,D311+E311-F311),SUMIFS(SONDERZAHLUNGEN!$E$9:$E$128,SONDERZAHLUNGEN!$B$9:$B$128,C311,SONDERZAHLUNGEN!$C$9:$C$128,A311,SONDERZAHLUNGEN!$H$9:$H$128,"OK",SONDERZAHLUNGEN!$F$9:$F$128,"Ja")))</x:f>
      </x:c>
      <x:c r="H311" s="88" t="str">
        <x:f>IF(C311="","",MIN(MAX(0,D311+E311-F311-G311),MAX(0,IF(MONATSBUDGET!$C$22="",0,MONATSBUDGET!$C$22)-SUM(F300:F319)-SUM(H300:H310))))</x:f>
      </x:c>
      <x:c r="I311" s="88" t="str">
        <x:f>IF(C311="","",MAX(0,ROUND(D311+E311-F311-G311-H311,2)))</x:f>
      </x:c>
      <x:c r="J311" s="88" t="str">
        <x:f>IF(C311="","",F311+G311+H311)</x:f>
      </x:c>
      <x:c r="K311" s="88" t="str">
        <x:f>IF(C311="","",MAX(0,SUMIFS(SONDERZAHLUNGEN!$E$9:$E$128,SONDERZAHLUNGEN!$B$9:$B$128,C311,SONDERZAHLUNGEN!$C$9:$C$128,A311,SONDERZAHLUNGEN!$H$9:$H$128,"OK",SONDERZAHLUNGEN!$F$9:$F$128,"Ja")-G311))</x:f>
      </x:c>
    </x:row>
    <x:row r="312" ht="19" customHeight="1">
      <x:c r="A312" s="90" t="n">
        <x:f>MONATSBUDGET!$A$22</x:f>
        <x:v>46661</x:v>
      </x:c>
      <x:c r="B312" t="n">
        <x:f>13</x:f>
        <x:v>13</x:v>
      </x:c>
      <x:c r="C312" t="str">
        <x:f>IF($N$21="","",$N$21)</x:f>
      </x:c>
      <x:c r="D312" s="88" t="str">
        <x:f>IF(C312="","",I292)</x:f>
      </x:c>
      <x:c r="E312" s="88" t="str">
        <x:f>IF(C312="","",ROUND(D312*$P$21/12,2))</x:f>
      </x:c>
      <x:c r="F312" s="88" t="str">
        <x:f>IF(C312="","",MIN(D312+E312,$Q$21))</x:f>
      </x:c>
      <x:c r="G312" s="88" t="str">
        <x:f>IF(C312="","",MIN(MAX(0,D312+E312-F312),SUMIFS(SONDERZAHLUNGEN!$E$9:$E$128,SONDERZAHLUNGEN!$B$9:$B$128,C312,SONDERZAHLUNGEN!$C$9:$C$128,A312,SONDERZAHLUNGEN!$H$9:$H$128,"OK",SONDERZAHLUNGEN!$F$9:$F$128,"Ja")))</x:f>
      </x:c>
      <x:c r="H312" s="88" t="str">
        <x:f>IF(C312="","",MIN(MAX(0,D312+E312-F312-G312),MAX(0,IF(MONATSBUDGET!$C$22="",0,MONATSBUDGET!$C$22)-SUM(F300:F319)-SUM(H300:H311))))</x:f>
      </x:c>
      <x:c r="I312" s="88" t="str">
        <x:f>IF(C312="","",MAX(0,ROUND(D312+E312-F312-G312-H312,2)))</x:f>
      </x:c>
      <x:c r="J312" s="88" t="str">
        <x:f>IF(C312="","",F312+G312+H312)</x:f>
      </x:c>
      <x:c r="K312" s="88" t="str">
        <x:f>IF(C312="","",MAX(0,SUMIFS(SONDERZAHLUNGEN!$E$9:$E$128,SONDERZAHLUNGEN!$B$9:$B$128,C312,SONDERZAHLUNGEN!$C$9:$C$128,A312,SONDERZAHLUNGEN!$H$9:$H$128,"OK",SONDERZAHLUNGEN!$F$9:$F$128,"Ja")-G312))</x:f>
      </x:c>
    </x:row>
    <x:row r="313" ht="19" customHeight="1">
      <x:c r="A313" s="90" t="n">
        <x:f>MONATSBUDGET!$A$22</x:f>
        <x:v>46661</x:v>
      </x:c>
      <x:c r="B313" t="n">
        <x:f>14</x:f>
        <x:v>14</x:v>
      </x:c>
      <x:c r="C313" t="str">
        <x:f>IF($N$22="","",$N$22)</x:f>
      </x:c>
      <x:c r="D313" s="88" t="str">
        <x:f>IF(C313="","",I293)</x:f>
      </x:c>
      <x:c r="E313" s="88" t="str">
        <x:f>IF(C313="","",ROUND(D313*$P$22/12,2))</x:f>
      </x:c>
      <x:c r="F313" s="88" t="str">
        <x:f>IF(C313="","",MIN(D313+E313,$Q$22))</x:f>
      </x:c>
      <x:c r="G313" s="88" t="str">
        <x:f>IF(C313="","",MIN(MAX(0,D313+E313-F313),SUMIFS(SONDERZAHLUNGEN!$E$9:$E$128,SONDERZAHLUNGEN!$B$9:$B$128,C313,SONDERZAHLUNGEN!$C$9:$C$128,A313,SONDERZAHLUNGEN!$H$9:$H$128,"OK",SONDERZAHLUNGEN!$F$9:$F$128,"Ja")))</x:f>
      </x:c>
      <x:c r="H313" s="88" t="str">
        <x:f>IF(C313="","",MIN(MAX(0,D313+E313-F313-G313),MAX(0,IF(MONATSBUDGET!$C$22="",0,MONATSBUDGET!$C$22)-SUM(F300:F319)-SUM(H300:H312))))</x:f>
      </x:c>
      <x:c r="I313" s="88" t="str">
        <x:f>IF(C313="","",MAX(0,ROUND(D313+E313-F313-G313-H313,2)))</x:f>
      </x:c>
      <x:c r="J313" s="88" t="str">
        <x:f>IF(C313="","",F313+G313+H313)</x:f>
      </x:c>
      <x:c r="K313" s="88" t="str">
        <x:f>IF(C313="","",MAX(0,SUMIFS(SONDERZAHLUNGEN!$E$9:$E$128,SONDERZAHLUNGEN!$B$9:$B$128,C313,SONDERZAHLUNGEN!$C$9:$C$128,A313,SONDERZAHLUNGEN!$H$9:$H$128,"OK",SONDERZAHLUNGEN!$F$9:$F$128,"Ja")-G313))</x:f>
      </x:c>
    </x:row>
    <x:row r="314" ht="19" customHeight="1">
      <x:c r="A314" s="90" t="n">
        <x:f>MONATSBUDGET!$A$22</x:f>
        <x:v>46661</x:v>
      </x:c>
      <x:c r="B314" t="n">
        <x:f>15</x:f>
        <x:v>15</x:v>
      </x:c>
      <x:c r="C314" t="str">
        <x:f>IF($N$23="","",$N$23)</x:f>
      </x:c>
      <x:c r="D314" s="88" t="str">
        <x:f>IF(C314="","",I294)</x:f>
      </x:c>
      <x:c r="E314" s="88" t="str">
        <x:f>IF(C314="","",ROUND(D314*$P$23/12,2))</x:f>
      </x:c>
      <x:c r="F314" s="88" t="str">
        <x:f>IF(C314="","",MIN(D314+E314,$Q$23))</x:f>
      </x:c>
      <x:c r="G314" s="88" t="str">
        <x:f>IF(C314="","",MIN(MAX(0,D314+E314-F314),SUMIFS(SONDERZAHLUNGEN!$E$9:$E$128,SONDERZAHLUNGEN!$B$9:$B$128,C314,SONDERZAHLUNGEN!$C$9:$C$128,A314,SONDERZAHLUNGEN!$H$9:$H$128,"OK",SONDERZAHLUNGEN!$F$9:$F$128,"Ja")))</x:f>
      </x:c>
      <x:c r="H314" s="88" t="str">
        <x:f>IF(C314="","",MIN(MAX(0,D314+E314-F314-G314),MAX(0,IF(MONATSBUDGET!$C$22="",0,MONATSBUDGET!$C$22)-SUM(F300:F319)-SUM(H300:H313))))</x:f>
      </x:c>
      <x:c r="I314" s="88" t="str">
        <x:f>IF(C314="","",MAX(0,ROUND(D314+E314-F314-G314-H314,2)))</x:f>
      </x:c>
      <x:c r="J314" s="88" t="str">
        <x:f>IF(C314="","",F314+G314+H314)</x:f>
      </x:c>
      <x:c r="K314" s="88" t="str">
        <x:f>IF(C314="","",MAX(0,SUMIFS(SONDERZAHLUNGEN!$E$9:$E$128,SONDERZAHLUNGEN!$B$9:$B$128,C314,SONDERZAHLUNGEN!$C$9:$C$128,A314,SONDERZAHLUNGEN!$H$9:$H$128,"OK",SONDERZAHLUNGEN!$F$9:$F$128,"Ja")-G314))</x:f>
      </x:c>
    </x:row>
    <x:row r="315" ht="19" customHeight="1">
      <x:c r="A315" s="90" t="n">
        <x:f>MONATSBUDGET!$A$22</x:f>
        <x:v>46661</x:v>
      </x:c>
      <x:c r="B315" t="n">
        <x:f>16</x:f>
        <x:v>16</x:v>
      </x:c>
      <x:c r="C315" t="str">
        <x:f>IF($N$24="","",$N$24)</x:f>
      </x:c>
      <x:c r="D315" s="88" t="str">
        <x:f>IF(C315="","",I295)</x:f>
      </x:c>
      <x:c r="E315" s="88" t="str">
        <x:f>IF(C315="","",ROUND(D315*$P$24/12,2))</x:f>
      </x:c>
      <x:c r="F315" s="88" t="str">
        <x:f>IF(C315="","",MIN(D315+E315,$Q$24))</x:f>
      </x:c>
      <x:c r="G315" s="88" t="str">
        <x:f>IF(C315="","",MIN(MAX(0,D315+E315-F315),SUMIFS(SONDERZAHLUNGEN!$E$9:$E$128,SONDERZAHLUNGEN!$B$9:$B$128,C315,SONDERZAHLUNGEN!$C$9:$C$128,A315,SONDERZAHLUNGEN!$H$9:$H$128,"OK",SONDERZAHLUNGEN!$F$9:$F$128,"Ja")))</x:f>
      </x:c>
      <x:c r="H315" s="88" t="str">
        <x:f>IF(C315="","",MIN(MAX(0,D315+E315-F315-G315),MAX(0,IF(MONATSBUDGET!$C$22="",0,MONATSBUDGET!$C$22)-SUM(F300:F319)-SUM(H300:H314))))</x:f>
      </x:c>
      <x:c r="I315" s="88" t="str">
        <x:f>IF(C315="","",MAX(0,ROUND(D315+E315-F315-G315-H315,2)))</x:f>
      </x:c>
      <x:c r="J315" s="88" t="str">
        <x:f>IF(C315="","",F315+G315+H315)</x:f>
      </x:c>
      <x:c r="K315" s="88" t="str">
        <x:f>IF(C315="","",MAX(0,SUMIFS(SONDERZAHLUNGEN!$E$9:$E$128,SONDERZAHLUNGEN!$B$9:$B$128,C315,SONDERZAHLUNGEN!$C$9:$C$128,A315,SONDERZAHLUNGEN!$H$9:$H$128,"OK",SONDERZAHLUNGEN!$F$9:$F$128,"Ja")-G315))</x:f>
      </x:c>
    </x:row>
    <x:row r="316" ht="19" customHeight="1">
      <x:c r="A316" s="90" t="n">
        <x:f>MONATSBUDGET!$A$22</x:f>
        <x:v>46661</x:v>
      </x:c>
      <x:c r="B316" t="n">
        <x:f>17</x:f>
        <x:v>17</x:v>
      </x:c>
      <x:c r="C316" t="str">
        <x:f>IF($N$25="","",$N$25)</x:f>
      </x:c>
      <x:c r="D316" s="88" t="str">
        <x:f>IF(C316="","",I296)</x:f>
      </x:c>
      <x:c r="E316" s="88" t="str">
        <x:f>IF(C316="","",ROUND(D316*$P$25/12,2))</x:f>
      </x:c>
      <x:c r="F316" s="88" t="str">
        <x:f>IF(C316="","",MIN(D316+E316,$Q$25))</x:f>
      </x:c>
      <x:c r="G316" s="88" t="str">
        <x:f>IF(C316="","",MIN(MAX(0,D316+E316-F316),SUMIFS(SONDERZAHLUNGEN!$E$9:$E$128,SONDERZAHLUNGEN!$B$9:$B$128,C316,SONDERZAHLUNGEN!$C$9:$C$128,A316,SONDERZAHLUNGEN!$H$9:$H$128,"OK",SONDERZAHLUNGEN!$F$9:$F$128,"Ja")))</x:f>
      </x:c>
      <x:c r="H316" s="88" t="str">
        <x:f>IF(C316="","",MIN(MAX(0,D316+E316-F316-G316),MAX(0,IF(MONATSBUDGET!$C$22="",0,MONATSBUDGET!$C$22)-SUM(F300:F319)-SUM(H300:H315))))</x:f>
      </x:c>
      <x:c r="I316" s="88" t="str">
        <x:f>IF(C316="","",MAX(0,ROUND(D316+E316-F316-G316-H316,2)))</x:f>
      </x:c>
      <x:c r="J316" s="88" t="str">
        <x:f>IF(C316="","",F316+G316+H316)</x:f>
      </x:c>
      <x:c r="K316" s="88" t="str">
        <x:f>IF(C316="","",MAX(0,SUMIFS(SONDERZAHLUNGEN!$E$9:$E$128,SONDERZAHLUNGEN!$B$9:$B$128,C316,SONDERZAHLUNGEN!$C$9:$C$128,A316,SONDERZAHLUNGEN!$H$9:$H$128,"OK",SONDERZAHLUNGEN!$F$9:$F$128,"Ja")-G316))</x:f>
      </x:c>
    </x:row>
    <x:row r="317" ht="19" customHeight="1">
      <x:c r="A317" s="90" t="n">
        <x:f>MONATSBUDGET!$A$22</x:f>
        <x:v>46661</x:v>
      </x:c>
      <x:c r="B317" t="n">
        <x:f>18</x:f>
        <x:v>18</x:v>
      </x:c>
      <x:c r="C317" t="str">
        <x:f>IF($N$26="","",$N$26)</x:f>
      </x:c>
      <x:c r="D317" s="88" t="str">
        <x:f>IF(C317="","",I297)</x:f>
      </x:c>
      <x:c r="E317" s="88" t="str">
        <x:f>IF(C317="","",ROUND(D317*$P$26/12,2))</x:f>
      </x:c>
      <x:c r="F317" s="88" t="str">
        <x:f>IF(C317="","",MIN(D317+E317,$Q$26))</x:f>
      </x:c>
      <x:c r="G317" s="88" t="str">
        <x:f>IF(C317="","",MIN(MAX(0,D317+E317-F317),SUMIFS(SONDERZAHLUNGEN!$E$9:$E$128,SONDERZAHLUNGEN!$B$9:$B$128,C317,SONDERZAHLUNGEN!$C$9:$C$128,A317,SONDERZAHLUNGEN!$H$9:$H$128,"OK",SONDERZAHLUNGEN!$F$9:$F$128,"Ja")))</x:f>
      </x:c>
      <x:c r="H317" s="88" t="str">
        <x:f>IF(C317="","",MIN(MAX(0,D317+E317-F317-G317),MAX(0,IF(MONATSBUDGET!$C$22="",0,MONATSBUDGET!$C$22)-SUM(F300:F319)-SUM(H300:H316))))</x:f>
      </x:c>
      <x:c r="I317" s="88" t="str">
        <x:f>IF(C317="","",MAX(0,ROUND(D317+E317-F317-G317-H317,2)))</x:f>
      </x:c>
      <x:c r="J317" s="88" t="str">
        <x:f>IF(C317="","",F317+G317+H317)</x:f>
      </x:c>
      <x:c r="K317" s="88" t="str">
        <x:f>IF(C317="","",MAX(0,SUMIFS(SONDERZAHLUNGEN!$E$9:$E$128,SONDERZAHLUNGEN!$B$9:$B$128,C317,SONDERZAHLUNGEN!$C$9:$C$128,A317,SONDERZAHLUNGEN!$H$9:$H$128,"OK",SONDERZAHLUNGEN!$F$9:$F$128,"Ja")-G317))</x:f>
      </x:c>
    </x:row>
    <x:row r="318" ht="19" customHeight="1">
      <x:c r="A318" s="90" t="n">
        <x:f>MONATSBUDGET!$A$22</x:f>
        <x:v>46661</x:v>
      </x:c>
      <x:c r="B318" t="n">
        <x:f>19</x:f>
        <x:v>19</x:v>
      </x:c>
      <x:c r="C318" t="str">
        <x:f>IF($N$27="","",$N$27)</x:f>
      </x:c>
      <x:c r="D318" s="88" t="str">
        <x:f>IF(C318="","",I298)</x:f>
      </x:c>
      <x:c r="E318" s="88" t="str">
        <x:f>IF(C318="","",ROUND(D318*$P$27/12,2))</x:f>
      </x:c>
      <x:c r="F318" s="88" t="str">
        <x:f>IF(C318="","",MIN(D318+E318,$Q$27))</x:f>
      </x:c>
      <x:c r="G318" s="88" t="str">
        <x:f>IF(C318="","",MIN(MAX(0,D318+E318-F318),SUMIFS(SONDERZAHLUNGEN!$E$9:$E$128,SONDERZAHLUNGEN!$B$9:$B$128,C318,SONDERZAHLUNGEN!$C$9:$C$128,A318,SONDERZAHLUNGEN!$H$9:$H$128,"OK",SONDERZAHLUNGEN!$F$9:$F$128,"Ja")))</x:f>
      </x:c>
      <x:c r="H318" s="88" t="str">
        <x:f>IF(C318="","",MIN(MAX(0,D318+E318-F318-G318),MAX(0,IF(MONATSBUDGET!$C$22="",0,MONATSBUDGET!$C$22)-SUM(F300:F319)-SUM(H300:H317))))</x:f>
      </x:c>
      <x:c r="I318" s="88" t="str">
        <x:f>IF(C318="","",MAX(0,ROUND(D318+E318-F318-G318-H318,2)))</x:f>
      </x:c>
      <x:c r="J318" s="88" t="str">
        <x:f>IF(C318="","",F318+G318+H318)</x:f>
      </x:c>
      <x:c r="K318" s="88" t="str">
        <x:f>IF(C318="","",MAX(0,SUMIFS(SONDERZAHLUNGEN!$E$9:$E$128,SONDERZAHLUNGEN!$B$9:$B$128,C318,SONDERZAHLUNGEN!$C$9:$C$128,A318,SONDERZAHLUNGEN!$H$9:$H$128,"OK",SONDERZAHLUNGEN!$F$9:$F$128,"Ja")-G318))</x:f>
      </x:c>
    </x:row>
    <x:row r="319" ht="19" customHeight="1">
      <x:c r="A319" s="90" t="n">
        <x:f>MONATSBUDGET!$A$22</x:f>
        <x:v>46661</x:v>
      </x:c>
      <x:c r="B319" t="n">
        <x:f>20</x:f>
        <x:v>20</x:v>
      </x:c>
      <x:c r="C319" t="str">
        <x:f>IF($N$28="","",$N$28)</x:f>
      </x:c>
      <x:c r="D319" s="88" t="str">
        <x:f>IF(C319="","",I299)</x:f>
      </x:c>
      <x:c r="E319" s="88" t="str">
        <x:f>IF(C319="","",ROUND(D319*$P$28/12,2))</x:f>
      </x:c>
      <x:c r="F319" s="88" t="str">
        <x:f>IF(C319="","",MIN(D319+E319,$Q$28))</x:f>
      </x:c>
      <x:c r="G319" s="88" t="str">
        <x:f>IF(C319="","",MIN(MAX(0,D319+E319-F319),SUMIFS(SONDERZAHLUNGEN!$E$9:$E$128,SONDERZAHLUNGEN!$B$9:$B$128,C319,SONDERZAHLUNGEN!$C$9:$C$128,A319,SONDERZAHLUNGEN!$H$9:$H$128,"OK",SONDERZAHLUNGEN!$F$9:$F$128,"Ja")))</x:f>
      </x:c>
      <x:c r="H319" s="88" t="str">
        <x:f>IF(C319="","",MIN(MAX(0,D319+E319-F319-G319),MAX(0,IF(MONATSBUDGET!$C$22="",0,MONATSBUDGET!$C$22)-SUM(F300:F319)-SUM(H300:H318))))</x:f>
      </x:c>
      <x:c r="I319" s="88" t="str">
        <x:f>IF(C319="","",MAX(0,ROUND(D319+E319-F319-G319-H319,2)))</x:f>
      </x:c>
      <x:c r="J319" s="88" t="str">
        <x:f>IF(C319="","",F319+G319+H319)</x:f>
      </x:c>
      <x:c r="K319" s="88" t="str">
        <x:f>IF(C319="","",MAX(0,SUMIFS(SONDERZAHLUNGEN!$E$9:$E$128,SONDERZAHLUNGEN!$B$9:$B$128,C319,SONDERZAHLUNGEN!$C$9:$C$128,A319,SONDERZAHLUNGEN!$H$9:$H$128,"OK",SONDERZAHLUNGEN!$F$9:$F$128,"Ja")-G319))</x:f>
      </x:c>
    </x:row>
    <x:row r="320" ht="19" customHeight="1">
      <x:c r="A320" s="90" t="n">
        <x:f>MONATSBUDGET!$A$23</x:f>
        <x:v>46692</x:v>
      </x:c>
      <x:c r="B320" t="n">
        <x:f>1</x:f>
        <x:v>1</x:v>
      </x:c>
      <x:c r="C320" t="str">
        <x:f>IF($N$9="","",$N$9)</x:f>
      </x:c>
      <x:c r="D320" s="88" t="str">
        <x:f>IF(C320="","",I300)</x:f>
      </x:c>
      <x:c r="E320" s="88" t="str">
        <x:f>IF(C320="","",ROUND(D320*$P$9/12,2))</x:f>
      </x:c>
      <x:c r="F320" s="88" t="str">
        <x:f>IF(C320="","",MIN(D320+E320,$Q$9))</x:f>
      </x:c>
      <x:c r="G320" s="88" t="str">
        <x:f>IF(C320="","",MIN(MAX(0,D320+E320-F320),SUMIFS(SONDERZAHLUNGEN!$E$9:$E$128,SONDERZAHLUNGEN!$B$9:$B$128,C320,SONDERZAHLUNGEN!$C$9:$C$128,A320,SONDERZAHLUNGEN!$H$9:$H$128,"OK",SONDERZAHLUNGEN!$F$9:$F$128,"Ja")))</x:f>
      </x:c>
      <x:c r="H320" s="88" t="str">
        <x:f>IF(C320="","",MIN(MAX(0,D320+E320-F320-G320),MAX(0,IF(MONATSBUDGET!$C$23="",0,MONATSBUDGET!$C$23)-SUM(F320:F339)-0)))</x:f>
      </x:c>
      <x:c r="I320" s="88" t="str">
        <x:f>IF(C320="","",MAX(0,ROUND(D320+E320-F320-G320-H320,2)))</x:f>
      </x:c>
      <x:c r="J320" s="88" t="str">
        <x:f>IF(C320="","",F320+G320+H320)</x:f>
      </x:c>
      <x:c r="K320" s="88" t="str">
        <x:f>IF(C320="","",MAX(0,SUMIFS(SONDERZAHLUNGEN!$E$9:$E$128,SONDERZAHLUNGEN!$B$9:$B$128,C320,SONDERZAHLUNGEN!$C$9:$C$128,A320,SONDERZAHLUNGEN!$H$9:$H$128,"OK",SONDERZAHLUNGEN!$F$9:$F$128,"Ja")-G320))</x:f>
      </x:c>
    </x:row>
    <x:row r="321" ht="19" customHeight="1">
      <x:c r="A321" s="90" t="n">
        <x:f>MONATSBUDGET!$A$23</x:f>
        <x:v>46692</x:v>
      </x:c>
      <x:c r="B321" t="n">
        <x:f>2</x:f>
        <x:v>2</x:v>
      </x:c>
      <x:c r="C321" t="str">
        <x:f>IF($N$10="","",$N$10)</x:f>
      </x:c>
      <x:c r="D321" s="88" t="str">
        <x:f>IF(C321="","",I301)</x:f>
      </x:c>
      <x:c r="E321" s="88" t="str">
        <x:f>IF(C321="","",ROUND(D321*$P$10/12,2))</x:f>
      </x:c>
      <x:c r="F321" s="88" t="str">
        <x:f>IF(C321="","",MIN(D321+E321,$Q$10))</x:f>
      </x:c>
      <x:c r="G321" s="88" t="str">
        <x:f>IF(C321="","",MIN(MAX(0,D321+E321-F321),SUMIFS(SONDERZAHLUNGEN!$E$9:$E$128,SONDERZAHLUNGEN!$B$9:$B$128,C321,SONDERZAHLUNGEN!$C$9:$C$128,A321,SONDERZAHLUNGEN!$H$9:$H$128,"OK",SONDERZAHLUNGEN!$F$9:$F$128,"Ja")))</x:f>
      </x:c>
      <x:c r="H321" s="88" t="str">
        <x:f>IF(C321="","",MIN(MAX(0,D321+E321-F321-G321),MAX(0,IF(MONATSBUDGET!$C$23="",0,MONATSBUDGET!$C$23)-SUM(F320:F339)-SUM(H320:H320))))</x:f>
      </x:c>
      <x:c r="I321" s="88" t="str">
        <x:f>IF(C321="","",MAX(0,ROUND(D321+E321-F321-G321-H321,2)))</x:f>
      </x:c>
      <x:c r="J321" s="88" t="str">
        <x:f>IF(C321="","",F321+G321+H321)</x:f>
      </x:c>
      <x:c r="K321" s="88" t="str">
        <x:f>IF(C321="","",MAX(0,SUMIFS(SONDERZAHLUNGEN!$E$9:$E$128,SONDERZAHLUNGEN!$B$9:$B$128,C321,SONDERZAHLUNGEN!$C$9:$C$128,A321,SONDERZAHLUNGEN!$H$9:$H$128,"OK",SONDERZAHLUNGEN!$F$9:$F$128,"Ja")-G321))</x:f>
      </x:c>
    </x:row>
    <x:row r="322" ht="19" customHeight="1">
      <x:c r="A322" s="90" t="n">
        <x:f>MONATSBUDGET!$A$23</x:f>
        <x:v>46692</x:v>
      </x:c>
      <x:c r="B322" t="n">
        <x:f>3</x:f>
        <x:v>3</x:v>
      </x:c>
      <x:c r="C322" t="str">
        <x:f>IF($N$11="","",$N$11)</x:f>
      </x:c>
      <x:c r="D322" s="88" t="str">
        <x:f>IF(C322="","",I302)</x:f>
      </x:c>
      <x:c r="E322" s="88" t="str">
        <x:f>IF(C322="","",ROUND(D322*$P$11/12,2))</x:f>
      </x:c>
      <x:c r="F322" s="88" t="str">
        <x:f>IF(C322="","",MIN(D322+E322,$Q$11))</x:f>
      </x:c>
      <x:c r="G322" s="88" t="str">
        <x:f>IF(C322="","",MIN(MAX(0,D322+E322-F322),SUMIFS(SONDERZAHLUNGEN!$E$9:$E$128,SONDERZAHLUNGEN!$B$9:$B$128,C322,SONDERZAHLUNGEN!$C$9:$C$128,A322,SONDERZAHLUNGEN!$H$9:$H$128,"OK",SONDERZAHLUNGEN!$F$9:$F$128,"Ja")))</x:f>
      </x:c>
      <x:c r="H322" s="88" t="str">
        <x:f>IF(C322="","",MIN(MAX(0,D322+E322-F322-G322),MAX(0,IF(MONATSBUDGET!$C$23="",0,MONATSBUDGET!$C$23)-SUM(F320:F339)-SUM(H320:H321))))</x:f>
      </x:c>
      <x:c r="I322" s="88" t="str">
        <x:f>IF(C322="","",MAX(0,ROUND(D322+E322-F322-G322-H322,2)))</x:f>
      </x:c>
      <x:c r="J322" s="88" t="str">
        <x:f>IF(C322="","",F322+G322+H322)</x:f>
      </x:c>
      <x:c r="K322" s="88" t="str">
        <x:f>IF(C322="","",MAX(0,SUMIFS(SONDERZAHLUNGEN!$E$9:$E$128,SONDERZAHLUNGEN!$B$9:$B$128,C322,SONDERZAHLUNGEN!$C$9:$C$128,A322,SONDERZAHLUNGEN!$H$9:$H$128,"OK",SONDERZAHLUNGEN!$F$9:$F$128,"Ja")-G322))</x:f>
      </x:c>
    </x:row>
    <x:row r="323" ht="19" customHeight="1">
      <x:c r="A323" s="90" t="n">
        <x:f>MONATSBUDGET!$A$23</x:f>
        <x:v>46692</x:v>
      </x:c>
      <x:c r="B323" t="n">
        <x:f>4</x:f>
        <x:v>4</x:v>
      </x:c>
      <x:c r="C323" t="str">
        <x:f>IF($N$12="","",$N$12)</x:f>
      </x:c>
      <x:c r="D323" s="88" t="str">
        <x:f>IF(C323="","",I303)</x:f>
      </x:c>
      <x:c r="E323" s="88" t="str">
        <x:f>IF(C323="","",ROUND(D323*$P$12/12,2))</x:f>
      </x:c>
      <x:c r="F323" s="88" t="str">
        <x:f>IF(C323="","",MIN(D323+E323,$Q$12))</x:f>
      </x:c>
      <x:c r="G323" s="88" t="str">
        <x:f>IF(C323="","",MIN(MAX(0,D323+E323-F323),SUMIFS(SONDERZAHLUNGEN!$E$9:$E$128,SONDERZAHLUNGEN!$B$9:$B$128,C323,SONDERZAHLUNGEN!$C$9:$C$128,A323,SONDERZAHLUNGEN!$H$9:$H$128,"OK",SONDERZAHLUNGEN!$F$9:$F$128,"Ja")))</x:f>
      </x:c>
      <x:c r="H323" s="88" t="str">
        <x:f>IF(C323="","",MIN(MAX(0,D323+E323-F323-G323),MAX(0,IF(MONATSBUDGET!$C$23="",0,MONATSBUDGET!$C$23)-SUM(F320:F339)-SUM(H320:H322))))</x:f>
      </x:c>
      <x:c r="I323" s="88" t="str">
        <x:f>IF(C323="","",MAX(0,ROUND(D323+E323-F323-G323-H323,2)))</x:f>
      </x:c>
      <x:c r="J323" s="88" t="str">
        <x:f>IF(C323="","",F323+G323+H323)</x:f>
      </x:c>
      <x:c r="K323" s="88" t="str">
        <x:f>IF(C323="","",MAX(0,SUMIFS(SONDERZAHLUNGEN!$E$9:$E$128,SONDERZAHLUNGEN!$B$9:$B$128,C323,SONDERZAHLUNGEN!$C$9:$C$128,A323,SONDERZAHLUNGEN!$H$9:$H$128,"OK",SONDERZAHLUNGEN!$F$9:$F$128,"Ja")-G323))</x:f>
      </x:c>
    </x:row>
    <x:row r="324" ht="19" customHeight="1">
      <x:c r="A324" s="90" t="n">
        <x:f>MONATSBUDGET!$A$23</x:f>
        <x:v>46692</x:v>
      </x:c>
      <x:c r="B324" t="n">
        <x:f>5</x:f>
        <x:v>5</x:v>
      </x:c>
      <x:c r="C324" t="str">
        <x:f>IF($N$13="","",$N$13)</x:f>
      </x:c>
      <x:c r="D324" s="88" t="str">
        <x:f>IF(C324="","",I304)</x:f>
      </x:c>
      <x:c r="E324" s="88" t="str">
        <x:f>IF(C324="","",ROUND(D324*$P$13/12,2))</x:f>
      </x:c>
      <x:c r="F324" s="88" t="str">
        <x:f>IF(C324="","",MIN(D324+E324,$Q$13))</x:f>
      </x:c>
      <x:c r="G324" s="88" t="str">
        <x:f>IF(C324="","",MIN(MAX(0,D324+E324-F324),SUMIFS(SONDERZAHLUNGEN!$E$9:$E$128,SONDERZAHLUNGEN!$B$9:$B$128,C324,SONDERZAHLUNGEN!$C$9:$C$128,A324,SONDERZAHLUNGEN!$H$9:$H$128,"OK",SONDERZAHLUNGEN!$F$9:$F$128,"Ja")))</x:f>
      </x:c>
      <x:c r="H324" s="88" t="str">
        <x:f>IF(C324="","",MIN(MAX(0,D324+E324-F324-G324),MAX(0,IF(MONATSBUDGET!$C$23="",0,MONATSBUDGET!$C$23)-SUM(F320:F339)-SUM(H320:H323))))</x:f>
      </x:c>
      <x:c r="I324" s="88" t="str">
        <x:f>IF(C324="","",MAX(0,ROUND(D324+E324-F324-G324-H324,2)))</x:f>
      </x:c>
      <x:c r="J324" s="88" t="str">
        <x:f>IF(C324="","",F324+G324+H324)</x:f>
      </x:c>
      <x:c r="K324" s="88" t="str">
        <x:f>IF(C324="","",MAX(0,SUMIFS(SONDERZAHLUNGEN!$E$9:$E$128,SONDERZAHLUNGEN!$B$9:$B$128,C324,SONDERZAHLUNGEN!$C$9:$C$128,A324,SONDERZAHLUNGEN!$H$9:$H$128,"OK",SONDERZAHLUNGEN!$F$9:$F$128,"Ja")-G324))</x:f>
      </x:c>
    </x:row>
    <x:row r="325" ht="19" customHeight="1">
      <x:c r="A325" s="90" t="n">
        <x:f>MONATSBUDGET!$A$23</x:f>
        <x:v>46692</x:v>
      </x:c>
      <x:c r="B325" t="n">
        <x:f>6</x:f>
        <x:v>6</x:v>
      </x:c>
      <x:c r="C325" t="str">
        <x:f>IF($N$14="","",$N$14)</x:f>
      </x:c>
      <x:c r="D325" s="88" t="str">
        <x:f>IF(C325="","",I305)</x:f>
      </x:c>
      <x:c r="E325" s="88" t="str">
        <x:f>IF(C325="","",ROUND(D325*$P$14/12,2))</x:f>
      </x:c>
      <x:c r="F325" s="88" t="str">
        <x:f>IF(C325="","",MIN(D325+E325,$Q$14))</x:f>
      </x:c>
      <x:c r="G325" s="88" t="str">
        <x:f>IF(C325="","",MIN(MAX(0,D325+E325-F325),SUMIFS(SONDERZAHLUNGEN!$E$9:$E$128,SONDERZAHLUNGEN!$B$9:$B$128,C325,SONDERZAHLUNGEN!$C$9:$C$128,A325,SONDERZAHLUNGEN!$H$9:$H$128,"OK",SONDERZAHLUNGEN!$F$9:$F$128,"Ja")))</x:f>
      </x:c>
      <x:c r="H325" s="88" t="str">
        <x:f>IF(C325="","",MIN(MAX(0,D325+E325-F325-G325),MAX(0,IF(MONATSBUDGET!$C$23="",0,MONATSBUDGET!$C$23)-SUM(F320:F339)-SUM(H320:H324))))</x:f>
      </x:c>
      <x:c r="I325" s="88" t="str">
        <x:f>IF(C325="","",MAX(0,ROUND(D325+E325-F325-G325-H325,2)))</x:f>
      </x:c>
      <x:c r="J325" s="88" t="str">
        <x:f>IF(C325="","",F325+G325+H325)</x:f>
      </x:c>
      <x:c r="K325" s="88" t="str">
        <x:f>IF(C325="","",MAX(0,SUMIFS(SONDERZAHLUNGEN!$E$9:$E$128,SONDERZAHLUNGEN!$B$9:$B$128,C325,SONDERZAHLUNGEN!$C$9:$C$128,A325,SONDERZAHLUNGEN!$H$9:$H$128,"OK",SONDERZAHLUNGEN!$F$9:$F$128,"Ja")-G325))</x:f>
      </x:c>
    </x:row>
    <x:row r="326" ht="19" customHeight="1">
      <x:c r="A326" s="90" t="n">
        <x:f>MONATSBUDGET!$A$23</x:f>
        <x:v>46692</x:v>
      </x:c>
      <x:c r="B326" t="n">
        <x:f>7</x:f>
        <x:v>7</x:v>
      </x:c>
      <x:c r="C326" t="str">
        <x:f>IF($N$15="","",$N$15)</x:f>
      </x:c>
      <x:c r="D326" s="88" t="str">
        <x:f>IF(C326="","",I306)</x:f>
      </x:c>
      <x:c r="E326" s="88" t="str">
        <x:f>IF(C326="","",ROUND(D326*$P$15/12,2))</x:f>
      </x:c>
      <x:c r="F326" s="88" t="str">
        <x:f>IF(C326="","",MIN(D326+E326,$Q$15))</x:f>
      </x:c>
      <x:c r="G326" s="88" t="str">
        <x:f>IF(C326="","",MIN(MAX(0,D326+E326-F326),SUMIFS(SONDERZAHLUNGEN!$E$9:$E$128,SONDERZAHLUNGEN!$B$9:$B$128,C326,SONDERZAHLUNGEN!$C$9:$C$128,A326,SONDERZAHLUNGEN!$H$9:$H$128,"OK",SONDERZAHLUNGEN!$F$9:$F$128,"Ja")))</x:f>
      </x:c>
      <x:c r="H326" s="88" t="str">
        <x:f>IF(C326="","",MIN(MAX(0,D326+E326-F326-G326),MAX(0,IF(MONATSBUDGET!$C$23="",0,MONATSBUDGET!$C$23)-SUM(F320:F339)-SUM(H320:H325))))</x:f>
      </x:c>
      <x:c r="I326" s="88" t="str">
        <x:f>IF(C326="","",MAX(0,ROUND(D326+E326-F326-G326-H326,2)))</x:f>
      </x:c>
      <x:c r="J326" s="88" t="str">
        <x:f>IF(C326="","",F326+G326+H326)</x:f>
      </x:c>
      <x:c r="K326" s="88" t="str">
        <x:f>IF(C326="","",MAX(0,SUMIFS(SONDERZAHLUNGEN!$E$9:$E$128,SONDERZAHLUNGEN!$B$9:$B$128,C326,SONDERZAHLUNGEN!$C$9:$C$128,A326,SONDERZAHLUNGEN!$H$9:$H$128,"OK",SONDERZAHLUNGEN!$F$9:$F$128,"Ja")-G326))</x:f>
      </x:c>
    </x:row>
    <x:row r="327" ht="19" customHeight="1">
      <x:c r="A327" s="90" t="n">
        <x:f>MONATSBUDGET!$A$23</x:f>
        <x:v>46692</x:v>
      </x:c>
      <x:c r="B327" t="n">
        <x:f>8</x:f>
        <x:v>8</x:v>
      </x:c>
      <x:c r="C327" t="str">
        <x:f>IF($N$16="","",$N$16)</x:f>
      </x:c>
      <x:c r="D327" s="88" t="str">
        <x:f>IF(C327="","",I307)</x:f>
      </x:c>
      <x:c r="E327" s="88" t="str">
        <x:f>IF(C327="","",ROUND(D327*$P$16/12,2))</x:f>
      </x:c>
      <x:c r="F327" s="88" t="str">
        <x:f>IF(C327="","",MIN(D327+E327,$Q$16))</x:f>
      </x:c>
      <x:c r="G327" s="88" t="str">
        <x:f>IF(C327="","",MIN(MAX(0,D327+E327-F327),SUMIFS(SONDERZAHLUNGEN!$E$9:$E$128,SONDERZAHLUNGEN!$B$9:$B$128,C327,SONDERZAHLUNGEN!$C$9:$C$128,A327,SONDERZAHLUNGEN!$H$9:$H$128,"OK",SONDERZAHLUNGEN!$F$9:$F$128,"Ja")))</x:f>
      </x:c>
      <x:c r="H327" s="88" t="str">
        <x:f>IF(C327="","",MIN(MAX(0,D327+E327-F327-G327),MAX(0,IF(MONATSBUDGET!$C$23="",0,MONATSBUDGET!$C$23)-SUM(F320:F339)-SUM(H320:H326))))</x:f>
      </x:c>
      <x:c r="I327" s="88" t="str">
        <x:f>IF(C327="","",MAX(0,ROUND(D327+E327-F327-G327-H327,2)))</x:f>
      </x:c>
      <x:c r="J327" s="88" t="str">
        <x:f>IF(C327="","",F327+G327+H327)</x:f>
      </x:c>
      <x:c r="K327" s="88" t="str">
        <x:f>IF(C327="","",MAX(0,SUMIFS(SONDERZAHLUNGEN!$E$9:$E$128,SONDERZAHLUNGEN!$B$9:$B$128,C327,SONDERZAHLUNGEN!$C$9:$C$128,A327,SONDERZAHLUNGEN!$H$9:$H$128,"OK",SONDERZAHLUNGEN!$F$9:$F$128,"Ja")-G327))</x:f>
      </x:c>
    </x:row>
    <x:row r="328" ht="19" customHeight="1">
      <x:c r="A328" s="90" t="n">
        <x:f>MONATSBUDGET!$A$23</x:f>
        <x:v>46692</x:v>
      </x:c>
      <x:c r="B328" t="n">
        <x:f>9</x:f>
        <x:v>9</x:v>
      </x:c>
      <x:c r="C328" t="str">
        <x:f>IF($N$17="","",$N$17)</x:f>
      </x:c>
      <x:c r="D328" s="88" t="str">
        <x:f>IF(C328="","",I308)</x:f>
      </x:c>
      <x:c r="E328" s="88" t="str">
        <x:f>IF(C328="","",ROUND(D328*$P$17/12,2))</x:f>
      </x:c>
      <x:c r="F328" s="88" t="str">
        <x:f>IF(C328="","",MIN(D328+E328,$Q$17))</x:f>
      </x:c>
      <x:c r="G328" s="88" t="str">
        <x:f>IF(C328="","",MIN(MAX(0,D328+E328-F328),SUMIFS(SONDERZAHLUNGEN!$E$9:$E$128,SONDERZAHLUNGEN!$B$9:$B$128,C328,SONDERZAHLUNGEN!$C$9:$C$128,A328,SONDERZAHLUNGEN!$H$9:$H$128,"OK",SONDERZAHLUNGEN!$F$9:$F$128,"Ja")))</x:f>
      </x:c>
      <x:c r="H328" s="88" t="str">
        <x:f>IF(C328="","",MIN(MAX(0,D328+E328-F328-G328),MAX(0,IF(MONATSBUDGET!$C$23="",0,MONATSBUDGET!$C$23)-SUM(F320:F339)-SUM(H320:H327))))</x:f>
      </x:c>
      <x:c r="I328" s="88" t="str">
        <x:f>IF(C328="","",MAX(0,ROUND(D328+E328-F328-G328-H328,2)))</x:f>
      </x:c>
      <x:c r="J328" s="88" t="str">
        <x:f>IF(C328="","",F328+G328+H328)</x:f>
      </x:c>
      <x:c r="K328" s="88" t="str">
        <x:f>IF(C328="","",MAX(0,SUMIFS(SONDERZAHLUNGEN!$E$9:$E$128,SONDERZAHLUNGEN!$B$9:$B$128,C328,SONDERZAHLUNGEN!$C$9:$C$128,A328,SONDERZAHLUNGEN!$H$9:$H$128,"OK",SONDERZAHLUNGEN!$F$9:$F$128,"Ja")-G328))</x:f>
      </x:c>
    </x:row>
    <x:row r="329" ht="19" customHeight="1">
      <x:c r="A329" s="90" t="n">
        <x:f>MONATSBUDGET!$A$23</x:f>
        <x:v>46692</x:v>
      </x:c>
      <x:c r="B329" t="n">
        <x:f>10</x:f>
        <x:v>10</x:v>
      </x:c>
      <x:c r="C329" t="str">
        <x:f>IF($N$18="","",$N$18)</x:f>
      </x:c>
      <x:c r="D329" s="88" t="str">
        <x:f>IF(C329="","",I309)</x:f>
      </x:c>
      <x:c r="E329" s="88" t="str">
        <x:f>IF(C329="","",ROUND(D329*$P$18/12,2))</x:f>
      </x:c>
      <x:c r="F329" s="88" t="str">
        <x:f>IF(C329="","",MIN(D329+E329,$Q$18))</x:f>
      </x:c>
      <x:c r="G329" s="88" t="str">
        <x:f>IF(C329="","",MIN(MAX(0,D329+E329-F329),SUMIFS(SONDERZAHLUNGEN!$E$9:$E$128,SONDERZAHLUNGEN!$B$9:$B$128,C329,SONDERZAHLUNGEN!$C$9:$C$128,A329,SONDERZAHLUNGEN!$H$9:$H$128,"OK",SONDERZAHLUNGEN!$F$9:$F$128,"Ja")))</x:f>
      </x:c>
      <x:c r="H329" s="88" t="str">
        <x:f>IF(C329="","",MIN(MAX(0,D329+E329-F329-G329),MAX(0,IF(MONATSBUDGET!$C$23="",0,MONATSBUDGET!$C$23)-SUM(F320:F339)-SUM(H320:H328))))</x:f>
      </x:c>
      <x:c r="I329" s="88" t="str">
        <x:f>IF(C329="","",MAX(0,ROUND(D329+E329-F329-G329-H329,2)))</x:f>
      </x:c>
      <x:c r="J329" s="88" t="str">
        <x:f>IF(C329="","",F329+G329+H329)</x:f>
      </x:c>
      <x:c r="K329" s="88" t="str">
        <x:f>IF(C329="","",MAX(0,SUMIFS(SONDERZAHLUNGEN!$E$9:$E$128,SONDERZAHLUNGEN!$B$9:$B$128,C329,SONDERZAHLUNGEN!$C$9:$C$128,A329,SONDERZAHLUNGEN!$H$9:$H$128,"OK",SONDERZAHLUNGEN!$F$9:$F$128,"Ja")-G329))</x:f>
      </x:c>
    </x:row>
    <x:row r="330" ht="19" customHeight="1">
      <x:c r="A330" s="90" t="n">
        <x:f>MONATSBUDGET!$A$23</x:f>
        <x:v>46692</x:v>
      </x:c>
      <x:c r="B330" t="n">
        <x:f>11</x:f>
        <x:v>11</x:v>
      </x:c>
      <x:c r="C330" t="str">
        <x:f>IF($N$19="","",$N$19)</x:f>
      </x:c>
      <x:c r="D330" s="88" t="str">
        <x:f>IF(C330="","",I310)</x:f>
      </x:c>
      <x:c r="E330" s="88" t="str">
        <x:f>IF(C330="","",ROUND(D330*$P$19/12,2))</x:f>
      </x:c>
      <x:c r="F330" s="88" t="str">
        <x:f>IF(C330="","",MIN(D330+E330,$Q$19))</x:f>
      </x:c>
      <x:c r="G330" s="88" t="str">
        <x:f>IF(C330="","",MIN(MAX(0,D330+E330-F330),SUMIFS(SONDERZAHLUNGEN!$E$9:$E$128,SONDERZAHLUNGEN!$B$9:$B$128,C330,SONDERZAHLUNGEN!$C$9:$C$128,A330,SONDERZAHLUNGEN!$H$9:$H$128,"OK",SONDERZAHLUNGEN!$F$9:$F$128,"Ja")))</x:f>
      </x:c>
      <x:c r="H330" s="88" t="str">
        <x:f>IF(C330="","",MIN(MAX(0,D330+E330-F330-G330),MAX(0,IF(MONATSBUDGET!$C$23="",0,MONATSBUDGET!$C$23)-SUM(F320:F339)-SUM(H320:H329))))</x:f>
      </x:c>
      <x:c r="I330" s="88" t="str">
        <x:f>IF(C330="","",MAX(0,ROUND(D330+E330-F330-G330-H330,2)))</x:f>
      </x:c>
      <x:c r="J330" s="88" t="str">
        <x:f>IF(C330="","",F330+G330+H330)</x:f>
      </x:c>
      <x:c r="K330" s="88" t="str">
        <x:f>IF(C330="","",MAX(0,SUMIFS(SONDERZAHLUNGEN!$E$9:$E$128,SONDERZAHLUNGEN!$B$9:$B$128,C330,SONDERZAHLUNGEN!$C$9:$C$128,A330,SONDERZAHLUNGEN!$H$9:$H$128,"OK",SONDERZAHLUNGEN!$F$9:$F$128,"Ja")-G330))</x:f>
      </x:c>
    </x:row>
    <x:row r="331" ht="19" customHeight="1">
      <x:c r="A331" s="90" t="n">
        <x:f>MONATSBUDGET!$A$23</x:f>
        <x:v>46692</x:v>
      </x:c>
      <x:c r="B331" t="n">
        <x:f>12</x:f>
        <x:v>12</x:v>
      </x:c>
      <x:c r="C331" t="str">
        <x:f>IF($N$20="","",$N$20)</x:f>
      </x:c>
      <x:c r="D331" s="88" t="str">
        <x:f>IF(C331="","",I311)</x:f>
      </x:c>
      <x:c r="E331" s="88" t="str">
        <x:f>IF(C331="","",ROUND(D331*$P$20/12,2))</x:f>
      </x:c>
      <x:c r="F331" s="88" t="str">
        <x:f>IF(C331="","",MIN(D331+E331,$Q$20))</x:f>
      </x:c>
      <x:c r="G331" s="88" t="str">
        <x:f>IF(C331="","",MIN(MAX(0,D331+E331-F331),SUMIFS(SONDERZAHLUNGEN!$E$9:$E$128,SONDERZAHLUNGEN!$B$9:$B$128,C331,SONDERZAHLUNGEN!$C$9:$C$128,A331,SONDERZAHLUNGEN!$H$9:$H$128,"OK",SONDERZAHLUNGEN!$F$9:$F$128,"Ja")))</x:f>
      </x:c>
      <x:c r="H331" s="88" t="str">
        <x:f>IF(C331="","",MIN(MAX(0,D331+E331-F331-G331),MAX(0,IF(MONATSBUDGET!$C$23="",0,MONATSBUDGET!$C$23)-SUM(F320:F339)-SUM(H320:H330))))</x:f>
      </x:c>
      <x:c r="I331" s="88" t="str">
        <x:f>IF(C331="","",MAX(0,ROUND(D331+E331-F331-G331-H331,2)))</x:f>
      </x:c>
      <x:c r="J331" s="88" t="str">
        <x:f>IF(C331="","",F331+G331+H331)</x:f>
      </x:c>
      <x:c r="K331" s="88" t="str">
        <x:f>IF(C331="","",MAX(0,SUMIFS(SONDERZAHLUNGEN!$E$9:$E$128,SONDERZAHLUNGEN!$B$9:$B$128,C331,SONDERZAHLUNGEN!$C$9:$C$128,A331,SONDERZAHLUNGEN!$H$9:$H$128,"OK",SONDERZAHLUNGEN!$F$9:$F$128,"Ja")-G331))</x:f>
      </x:c>
    </x:row>
    <x:row r="332" ht="19" customHeight="1">
      <x:c r="A332" s="90" t="n">
        <x:f>MONATSBUDGET!$A$23</x:f>
        <x:v>46692</x:v>
      </x:c>
      <x:c r="B332" t="n">
        <x:f>13</x:f>
        <x:v>13</x:v>
      </x:c>
      <x:c r="C332" t="str">
        <x:f>IF($N$21="","",$N$21)</x:f>
      </x:c>
      <x:c r="D332" s="88" t="str">
        <x:f>IF(C332="","",I312)</x:f>
      </x:c>
      <x:c r="E332" s="88" t="str">
        <x:f>IF(C332="","",ROUND(D332*$P$21/12,2))</x:f>
      </x:c>
      <x:c r="F332" s="88" t="str">
        <x:f>IF(C332="","",MIN(D332+E332,$Q$21))</x:f>
      </x:c>
      <x:c r="G332" s="88" t="str">
        <x:f>IF(C332="","",MIN(MAX(0,D332+E332-F332),SUMIFS(SONDERZAHLUNGEN!$E$9:$E$128,SONDERZAHLUNGEN!$B$9:$B$128,C332,SONDERZAHLUNGEN!$C$9:$C$128,A332,SONDERZAHLUNGEN!$H$9:$H$128,"OK",SONDERZAHLUNGEN!$F$9:$F$128,"Ja")))</x:f>
      </x:c>
      <x:c r="H332" s="88" t="str">
        <x:f>IF(C332="","",MIN(MAX(0,D332+E332-F332-G332),MAX(0,IF(MONATSBUDGET!$C$23="",0,MONATSBUDGET!$C$23)-SUM(F320:F339)-SUM(H320:H331))))</x:f>
      </x:c>
      <x:c r="I332" s="88" t="str">
        <x:f>IF(C332="","",MAX(0,ROUND(D332+E332-F332-G332-H332,2)))</x:f>
      </x:c>
      <x:c r="J332" s="88" t="str">
        <x:f>IF(C332="","",F332+G332+H332)</x:f>
      </x:c>
      <x:c r="K332" s="88" t="str">
        <x:f>IF(C332="","",MAX(0,SUMIFS(SONDERZAHLUNGEN!$E$9:$E$128,SONDERZAHLUNGEN!$B$9:$B$128,C332,SONDERZAHLUNGEN!$C$9:$C$128,A332,SONDERZAHLUNGEN!$H$9:$H$128,"OK",SONDERZAHLUNGEN!$F$9:$F$128,"Ja")-G332))</x:f>
      </x:c>
    </x:row>
    <x:row r="333" ht="19" customHeight="1">
      <x:c r="A333" s="90" t="n">
        <x:f>MONATSBUDGET!$A$23</x:f>
        <x:v>46692</x:v>
      </x:c>
      <x:c r="B333" t="n">
        <x:f>14</x:f>
        <x:v>14</x:v>
      </x:c>
      <x:c r="C333" t="str">
        <x:f>IF($N$22="","",$N$22)</x:f>
      </x:c>
      <x:c r="D333" s="88" t="str">
        <x:f>IF(C333="","",I313)</x:f>
      </x:c>
      <x:c r="E333" s="88" t="str">
        <x:f>IF(C333="","",ROUND(D333*$P$22/12,2))</x:f>
      </x:c>
      <x:c r="F333" s="88" t="str">
        <x:f>IF(C333="","",MIN(D333+E333,$Q$22))</x:f>
      </x:c>
      <x:c r="G333" s="88" t="str">
        <x:f>IF(C333="","",MIN(MAX(0,D333+E333-F333),SUMIFS(SONDERZAHLUNGEN!$E$9:$E$128,SONDERZAHLUNGEN!$B$9:$B$128,C333,SONDERZAHLUNGEN!$C$9:$C$128,A333,SONDERZAHLUNGEN!$H$9:$H$128,"OK",SONDERZAHLUNGEN!$F$9:$F$128,"Ja")))</x:f>
      </x:c>
      <x:c r="H333" s="88" t="str">
        <x:f>IF(C333="","",MIN(MAX(0,D333+E333-F333-G333),MAX(0,IF(MONATSBUDGET!$C$23="",0,MONATSBUDGET!$C$23)-SUM(F320:F339)-SUM(H320:H332))))</x:f>
      </x:c>
      <x:c r="I333" s="88" t="str">
        <x:f>IF(C333="","",MAX(0,ROUND(D333+E333-F333-G333-H333,2)))</x:f>
      </x:c>
      <x:c r="J333" s="88" t="str">
        <x:f>IF(C333="","",F333+G333+H333)</x:f>
      </x:c>
      <x:c r="K333" s="88" t="str">
        <x:f>IF(C333="","",MAX(0,SUMIFS(SONDERZAHLUNGEN!$E$9:$E$128,SONDERZAHLUNGEN!$B$9:$B$128,C333,SONDERZAHLUNGEN!$C$9:$C$128,A333,SONDERZAHLUNGEN!$H$9:$H$128,"OK",SONDERZAHLUNGEN!$F$9:$F$128,"Ja")-G333))</x:f>
      </x:c>
    </x:row>
    <x:row r="334" ht="19" customHeight="1">
      <x:c r="A334" s="90" t="n">
        <x:f>MONATSBUDGET!$A$23</x:f>
        <x:v>46692</x:v>
      </x:c>
      <x:c r="B334" t="n">
        <x:f>15</x:f>
        <x:v>15</x:v>
      </x:c>
      <x:c r="C334" t="str">
        <x:f>IF($N$23="","",$N$23)</x:f>
      </x:c>
      <x:c r="D334" s="88" t="str">
        <x:f>IF(C334="","",I314)</x:f>
      </x:c>
      <x:c r="E334" s="88" t="str">
        <x:f>IF(C334="","",ROUND(D334*$P$23/12,2))</x:f>
      </x:c>
      <x:c r="F334" s="88" t="str">
        <x:f>IF(C334="","",MIN(D334+E334,$Q$23))</x:f>
      </x:c>
      <x:c r="G334" s="88" t="str">
        <x:f>IF(C334="","",MIN(MAX(0,D334+E334-F334),SUMIFS(SONDERZAHLUNGEN!$E$9:$E$128,SONDERZAHLUNGEN!$B$9:$B$128,C334,SONDERZAHLUNGEN!$C$9:$C$128,A334,SONDERZAHLUNGEN!$H$9:$H$128,"OK",SONDERZAHLUNGEN!$F$9:$F$128,"Ja")))</x:f>
      </x:c>
      <x:c r="H334" s="88" t="str">
        <x:f>IF(C334="","",MIN(MAX(0,D334+E334-F334-G334),MAX(0,IF(MONATSBUDGET!$C$23="",0,MONATSBUDGET!$C$23)-SUM(F320:F339)-SUM(H320:H333))))</x:f>
      </x:c>
      <x:c r="I334" s="88" t="str">
        <x:f>IF(C334="","",MAX(0,ROUND(D334+E334-F334-G334-H334,2)))</x:f>
      </x:c>
      <x:c r="J334" s="88" t="str">
        <x:f>IF(C334="","",F334+G334+H334)</x:f>
      </x:c>
      <x:c r="K334" s="88" t="str">
        <x:f>IF(C334="","",MAX(0,SUMIFS(SONDERZAHLUNGEN!$E$9:$E$128,SONDERZAHLUNGEN!$B$9:$B$128,C334,SONDERZAHLUNGEN!$C$9:$C$128,A334,SONDERZAHLUNGEN!$H$9:$H$128,"OK",SONDERZAHLUNGEN!$F$9:$F$128,"Ja")-G334))</x:f>
      </x:c>
    </x:row>
    <x:row r="335" ht="19" customHeight="1">
      <x:c r="A335" s="90" t="n">
        <x:f>MONATSBUDGET!$A$23</x:f>
        <x:v>46692</x:v>
      </x:c>
      <x:c r="B335" t="n">
        <x:f>16</x:f>
        <x:v>16</x:v>
      </x:c>
      <x:c r="C335" t="str">
        <x:f>IF($N$24="","",$N$24)</x:f>
      </x:c>
      <x:c r="D335" s="88" t="str">
        <x:f>IF(C335="","",I315)</x:f>
      </x:c>
      <x:c r="E335" s="88" t="str">
        <x:f>IF(C335="","",ROUND(D335*$P$24/12,2))</x:f>
      </x:c>
      <x:c r="F335" s="88" t="str">
        <x:f>IF(C335="","",MIN(D335+E335,$Q$24))</x:f>
      </x:c>
      <x:c r="G335" s="88" t="str">
        <x:f>IF(C335="","",MIN(MAX(0,D335+E335-F335),SUMIFS(SONDERZAHLUNGEN!$E$9:$E$128,SONDERZAHLUNGEN!$B$9:$B$128,C335,SONDERZAHLUNGEN!$C$9:$C$128,A335,SONDERZAHLUNGEN!$H$9:$H$128,"OK",SONDERZAHLUNGEN!$F$9:$F$128,"Ja")))</x:f>
      </x:c>
      <x:c r="H335" s="88" t="str">
        <x:f>IF(C335="","",MIN(MAX(0,D335+E335-F335-G335),MAX(0,IF(MONATSBUDGET!$C$23="",0,MONATSBUDGET!$C$23)-SUM(F320:F339)-SUM(H320:H334))))</x:f>
      </x:c>
      <x:c r="I335" s="88" t="str">
        <x:f>IF(C335="","",MAX(0,ROUND(D335+E335-F335-G335-H335,2)))</x:f>
      </x:c>
      <x:c r="J335" s="88" t="str">
        <x:f>IF(C335="","",F335+G335+H335)</x:f>
      </x:c>
      <x:c r="K335" s="88" t="str">
        <x:f>IF(C335="","",MAX(0,SUMIFS(SONDERZAHLUNGEN!$E$9:$E$128,SONDERZAHLUNGEN!$B$9:$B$128,C335,SONDERZAHLUNGEN!$C$9:$C$128,A335,SONDERZAHLUNGEN!$H$9:$H$128,"OK",SONDERZAHLUNGEN!$F$9:$F$128,"Ja")-G335))</x:f>
      </x:c>
    </x:row>
    <x:row r="336" ht="19" customHeight="1">
      <x:c r="A336" s="90" t="n">
        <x:f>MONATSBUDGET!$A$23</x:f>
        <x:v>46692</x:v>
      </x:c>
      <x:c r="B336" t="n">
        <x:f>17</x:f>
        <x:v>17</x:v>
      </x:c>
      <x:c r="C336" t="str">
        <x:f>IF($N$25="","",$N$25)</x:f>
      </x:c>
      <x:c r="D336" s="88" t="str">
        <x:f>IF(C336="","",I316)</x:f>
      </x:c>
      <x:c r="E336" s="88" t="str">
        <x:f>IF(C336="","",ROUND(D336*$P$25/12,2))</x:f>
      </x:c>
      <x:c r="F336" s="88" t="str">
        <x:f>IF(C336="","",MIN(D336+E336,$Q$25))</x:f>
      </x:c>
      <x:c r="G336" s="88" t="str">
        <x:f>IF(C336="","",MIN(MAX(0,D336+E336-F336),SUMIFS(SONDERZAHLUNGEN!$E$9:$E$128,SONDERZAHLUNGEN!$B$9:$B$128,C336,SONDERZAHLUNGEN!$C$9:$C$128,A336,SONDERZAHLUNGEN!$H$9:$H$128,"OK",SONDERZAHLUNGEN!$F$9:$F$128,"Ja")))</x:f>
      </x:c>
      <x:c r="H336" s="88" t="str">
        <x:f>IF(C336="","",MIN(MAX(0,D336+E336-F336-G336),MAX(0,IF(MONATSBUDGET!$C$23="",0,MONATSBUDGET!$C$23)-SUM(F320:F339)-SUM(H320:H335))))</x:f>
      </x:c>
      <x:c r="I336" s="88" t="str">
        <x:f>IF(C336="","",MAX(0,ROUND(D336+E336-F336-G336-H336,2)))</x:f>
      </x:c>
      <x:c r="J336" s="88" t="str">
        <x:f>IF(C336="","",F336+G336+H336)</x:f>
      </x:c>
      <x:c r="K336" s="88" t="str">
        <x:f>IF(C336="","",MAX(0,SUMIFS(SONDERZAHLUNGEN!$E$9:$E$128,SONDERZAHLUNGEN!$B$9:$B$128,C336,SONDERZAHLUNGEN!$C$9:$C$128,A336,SONDERZAHLUNGEN!$H$9:$H$128,"OK",SONDERZAHLUNGEN!$F$9:$F$128,"Ja")-G336))</x:f>
      </x:c>
    </x:row>
    <x:row r="337" ht="19" customHeight="1">
      <x:c r="A337" s="90" t="n">
        <x:f>MONATSBUDGET!$A$23</x:f>
        <x:v>46692</x:v>
      </x:c>
      <x:c r="B337" t="n">
        <x:f>18</x:f>
        <x:v>18</x:v>
      </x:c>
      <x:c r="C337" t="str">
        <x:f>IF($N$26="","",$N$26)</x:f>
      </x:c>
      <x:c r="D337" s="88" t="str">
        <x:f>IF(C337="","",I317)</x:f>
      </x:c>
      <x:c r="E337" s="88" t="str">
        <x:f>IF(C337="","",ROUND(D337*$P$26/12,2))</x:f>
      </x:c>
      <x:c r="F337" s="88" t="str">
        <x:f>IF(C337="","",MIN(D337+E337,$Q$26))</x:f>
      </x:c>
      <x:c r="G337" s="88" t="str">
        <x:f>IF(C337="","",MIN(MAX(0,D337+E337-F337),SUMIFS(SONDERZAHLUNGEN!$E$9:$E$128,SONDERZAHLUNGEN!$B$9:$B$128,C337,SONDERZAHLUNGEN!$C$9:$C$128,A337,SONDERZAHLUNGEN!$H$9:$H$128,"OK",SONDERZAHLUNGEN!$F$9:$F$128,"Ja")))</x:f>
      </x:c>
      <x:c r="H337" s="88" t="str">
        <x:f>IF(C337="","",MIN(MAX(0,D337+E337-F337-G337),MAX(0,IF(MONATSBUDGET!$C$23="",0,MONATSBUDGET!$C$23)-SUM(F320:F339)-SUM(H320:H336))))</x:f>
      </x:c>
      <x:c r="I337" s="88" t="str">
        <x:f>IF(C337="","",MAX(0,ROUND(D337+E337-F337-G337-H337,2)))</x:f>
      </x:c>
      <x:c r="J337" s="88" t="str">
        <x:f>IF(C337="","",F337+G337+H337)</x:f>
      </x:c>
      <x:c r="K337" s="88" t="str">
        <x:f>IF(C337="","",MAX(0,SUMIFS(SONDERZAHLUNGEN!$E$9:$E$128,SONDERZAHLUNGEN!$B$9:$B$128,C337,SONDERZAHLUNGEN!$C$9:$C$128,A337,SONDERZAHLUNGEN!$H$9:$H$128,"OK",SONDERZAHLUNGEN!$F$9:$F$128,"Ja")-G337))</x:f>
      </x:c>
    </x:row>
    <x:row r="338" ht="19" customHeight="1">
      <x:c r="A338" s="90" t="n">
        <x:f>MONATSBUDGET!$A$23</x:f>
        <x:v>46692</x:v>
      </x:c>
      <x:c r="B338" t="n">
        <x:f>19</x:f>
        <x:v>19</x:v>
      </x:c>
      <x:c r="C338" t="str">
        <x:f>IF($N$27="","",$N$27)</x:f>
      </x:c>
      <x:c r="D338" s="88" t="str">
        <x:f>IF(C338="","",I318)</x:f>
      </x:c>
      <x:c r="E338" s="88" t="str">
        <x:f>IF(C338="","",ROUND(D338*$P$27/12,2))</x:f>
      </x:c>
      <x:c r="F338" s="88" t="str">
        <x:f>IF(C338="","",MIN(D338+E338,$Q$27))</x:f>
      </x:c>
      <x:c r="G338" s="88" t="str">
        <x:f>IF(C338="","",MIN(MAX(0,D338+E338-F338),SUMIFS(SONDERZAHLUNGEN!$E$9:$E$128,SONDERZAHLUNGEN!$B$9:$B$128,C338,SONDERZAHLUNGEN!$C$9:$C$128,A338,SONDERZAHLUNGEN!$H$9:$H$128,"OK",SONDERZAHLUNGEN!$F$9:$F$128,"Ja")))</x:f>
      </x:c>
      <x:c r="H338" s="88" t="str">
        <x:f>IF(C338="","",MIN(MAX(0,D338+E338-F338-G338),MAX(0,IF(MONATSBUDGET!$C$23="",0,MONATSBUDGET!$C$23)-SUM(F320:F339)-SUM(H320:H337))))</x:f>
      </x:c>
      <x:c r="I338" s="88" t="str">
        <x:f>IF(C338="","",MAX(0,ROUND(D338+E338-F338-G338-H338,2)))</x:f>
      </x:c>
      <x:c r="J338" s="88" t="str">
        <x:f>IF(C338="","",F338+G338+H338)</x:f>
      </x:c>
      <x:c r="K338" s="88" t="str">
        <x:f>IF(C338="","",MAX(0,SUMIFS(SONDERZAHLUNGEN!$E$9:$E$128,SONDERZAHLUNGEN!$B$9:$B$128,C338,SONDERZAHLUNGEN!$C$9:$C$128,A338,SONDERZAHLUNGEN!$H$9:$H$128,"OK",SONDERZAHLUNGEN!$F$9:$F$128,"Ja")-G338))</x:f>
      </x:c>
    </x:row>
    <x:row r="339" ht="19" customHeight="1">
      <x:c r="A339" s="90" t="n">
        <x:f>MONATSBUDGET!$A$23</x:f>
        <x:v>46692</x:v>
      </x:c>
      <x:c r="B339" t="n">
        <x:f>20</x:f>
        <x:v>20</x:v>
      </x:c>
      <x:c r="C339" t="str">
        <x:f>IF($N$28="","",$N$28)</x:f>
      </x:c>
      <x:c r="D339" s="88" t="str">
        <x:f>IF(C339="","",I319)</x:f>
      </x:c>
      <x:c r="E339" s="88" t="str">
        <x:f>IF(C339="","",ROUND(D339*$P$28/12,2))</x:f>
      </x:c>
      <x:c r="F339" s="88" t="str">
        <x:f>IF(C339="","",MIN(D339+E339,$Q$28))</x:f>
      </x:c>
      <x:c r="G339" s="88" t="str">
        <x:f>IF(C339="","",MIN(MAX(0,D339+E339-F339),SUMIFS(SONDERZAHLUNGEN!$E$9:$E$128,SONDERZAHLUNGEN!$B$9:$B$128,C339,SONDERZAHLUNGEN!$C$9:$C$128,A339,SONDERZAHLUNGEN!$H$9:$H$128,"OK",SONDERZAHLUNGEN!$F$9:$F$128,"Ja")))</x:f>
      </x:c>
      <x:c r="H339" s="88" t="str">
        <x:f>IF(C339="","",MIN(MAX(0,D339+E339-F339-G339),MAX(0,IF(MONATSBUDGET!$C$23="",0,MONATSBUDGET!$C$23)-SUM(F320:F339)-SUM(H320:H338))))</x:f>
      </x:c>
      <x:c r="I339" s="88" t="str">
        <x:f>IF(C339="","",MAX(0,ROUND(D339+E339-F339-G339-H339,2)))</x:f>
      </x:c>
      <x:c r="J339" s="88" t="str">
        <x:f>IF(C339="","",F339+G339+H339)</x:f>
      </x:c>
      <x:c r="K339" s="88" t="str">
        <x:f>IF(C339="","",MAX(0,SUMIFS(SONDERZAHLUNGEN!$E$9:$E$128,SONDERZAHLUNGEN!$B$9:$B$128,C339,SONDERZAHLUNGEN!$C$9:$C$128,A339,SONDERZAHLUNGEN!$H$9:$H$128,"OK",SONDERZAHLUNGEN!$F$9:$F$128,"Ja")-G339))</x:f>
      </x:c>
    </x:row>
    <x:row r="340" ht="19" customHeight="1">
      <x:c r="A340" s="90" t="n">
        <x:f>MONATSBUDGET!$A$24</x:f>
        <x:v>46722</x:v>
      </x:c>
      <x:c r="B340" t="n">
        <x:f>1</x:f>
        <x:v>1</x:v>
      </x:c>
      <x:c r="C340" t="str">
        <x:f>IF($N$9="","",$N$9)</x:f>
      </x:c>
      <x:c r="D340" s="88" t="str">
        <x:f>IF(C340="","",I320)</x:f>
      </x:c>
      <x:c r="E340" s="88" t="str">
        <x:f>IF(C340="","",ROUND(D340*$P$9/12,2))</x:f>
      </x:c>
      <x:c r="F340" s="88" t="str">
        <x:f>IF(C340="","",MIN(D340+E340,$Q$9))</x:f>
      </x:c>
      <x:c r="G340" s="88" t="str">
        <x:f>IF(C340="","",MIN(MAX(0,D340+E340-F340),SUMIFS(SONDERZAHLUNGEN!$E$9:$E$128,SONDERZAHLUNGEN!$B$9:$B$128,C340,SONDERZAHLUNGEN!$C$9:$C$128,A340,SONDERZAHLUNGEN!$H$9:$H$128,"OK",SONDERZAHLUNGEN!$F$9:$F$128,"Ja")))</x:f>
      </x:c>
      <x:c r="H340" s="88" t="str">
        <x:f>IF(C340="","",MIN(MAX(0,D340+E340-F340-G340),MAX(0,IF(MONATSBUDGET!$C$24="",0,MONATSBUDGET!$C$24)-SUM(F340:F359)-0)))</x:f>
      </x:c>
      <x:c r="I340" s="88" t="str">
        <x:f>IF(C340="","",MAX(0,ROUND(D340+E340-F340-G340-H340,2)))</x:f>
      </x:c>
      <x:c r="J340" s="88" t="str">
        <x:f>IF(C340="","",F340+G340+H340)</x:f>
      </x:c>
      <x:c r="K340" s="88" t="str">
        <x:f>IF(C340="","",MAX(0,SUMIFS(SONDERZAHLUNGEN!$E$9:$E$128,SONDERZAHLUNGEN!$B$9:$B$128,C340,SONDERZAHLUNGEN!$C$9:$C$128,A340,SONDERZAHLUNGEN!$H$9:$H$128,"OK",SONDERZAHLUNGEN!$F$9:$F$128,"Ja")-G340))</x:f>
      </x:c>
    </x:row>
    <x:row r="341" ht="19" customHeight="1">
      <x:c r="A341" s="90" t="n">
        <x:f>MONATSBUDGET!$A$24</x:f>
        <x:v>46722</x:v>
      </x:c>
      <x:c r="B341" t="n">
        <x:f>2</x:f>
        <x:v>2</x:v>
      </x:c>
      <x:c r="C341" t="str">
        <x:f>IF($N$10="","",$N$10)</x:f>
      </x:c>
      <x:c r="D341" s="88" t="str">
        <x:f>IF(C341="","",I321)</x:f>
      </x:c>
      <x:c r="E341" s="88" t="str">
        <x:f>IF(C341="","",ROUND(D341*$P$10/12,2))</x:f>
      </x:c>
      <x:c r="F341" s="88" t="str">
        <x:f>IF(C341="","",MIN(D341+E341,$Q$10))</x:f>
      </x:c>
      <x:c r="G341" s="88" t="str">
        <x:f>IF(C341="","",MIN(MAX(0,D341+E341-F341),SUMIFS(SONDERZAHLUNGEN!$E$9:$E$128,SONDERZAHLUNGEN!$B$9:$B$128,C341,SONDERZAHLUNGEN!$C$9:$C$128,A341,SONDERZAHLUNGEN!$H$9:$H$128,"OK",SONDERZAHLUNGEN!$F$9:$F$128,"Ja")))</x:f>
      </x:c>
      <x:c r="H341" s="88" t="str">
        <x:f>IF(C341="","",MIN(MAX(0,D341+E341-F341-G341),MAX(0,IF(MONATSBUDGET!$C$24="",0,MONATSBUDGET!$C$24)-SUM(F340:F359)-SUM(H340:H340))))</x:f>
      </x:c>
      <x:c r="I341" s="88" t="str">
        <x:f>IF(C341="","",MAX(0,ROUND(D341+E341-F341-G341-H341,2)))</x:f>
      </x:c>
      <x:c r="J341" s="88" t="str">
        <x:f>IF(C341="","",F341+G341+H341)</x:f>
      </x:c>
      <x:c r="K341" s="88" t="str">
        <x:f>IF(C341="","",MAX(0,SUMIFS(SONDERZAHLUNGEN!$E$9:$E$128,SONDERZAHLUNGEN!$B$9:$B$128,C341,SONDERZAHLUNGEN!$C$9:$C$128,A341,SONDERZAHLUNGEN!$H$9:$H$128,"OK",SONDERZAHLUNGEN!$F$9:$F$128,"Ja")-G341))</x:f>
      </x:c>
    </x:row>
    <x:row r="342" ht="19" customHeight="1">
      <x:c r="A342" s="90" t="n">
        <x:f>MONATSBUDGET!$A$24</x:f>
        <x:v>46722</x:v>
      </x:c>
      <x:c r="B342" t="n">
        <x:f>3</x:f>
        <x:v>3</x:v>
      </x:c>
      <x:c r="C342" t="str">
        <x:f>IF($N$11="","",$N$11)</x:f>
      </x:c>
      <x:c r="D342" s="88" t="str">
        <x:f>IF(C342="","",I322)</x:f>
      </x:c>
      <x:c r="E342" s="88" t="str">
        <x:f>IF(C342="","",ROUND(D342*$P$11/12,2))</x:f>
      </x:c>
      <x:c r="F342" s="88" t="str">
        <x:f>IF(C342="","",MIN(D342+E342,$Q$11))</x:f>
      </x:c>
      <x:c r="G342" s="88" t="str">
        <x:f>IF(C342="","",MIN(MAX(0,D342+E342-F342),SUMIFS(SONDERZAHLUNGEN!$E$9:$E$128,SONDERZAHLUNGEN!$B$9:$B$128,C342,SONDERZAHLUNGEN!$C$9:$C$128,A342,SONDERZAHLUNGEN!$H$9:$H$128,"OK",SONDERZAHLUNGEN!$F$9:$F$128,"Ja")))</x:f>
      </x:c>
      <x:c r="H342" s="88" t="str">
        <x:f>IF(C342="","",MIN(MAX(0,D342+E342-F342-G342),MAX(0,IF(MONATSBUDGET!$C$24="",0,MONATSBUDGET!$C$24)-SUM(F340:F359)-SUM(H340:H341))))</x:f>
      </x:c>
      <x:c r="I342" s="88" t="str">
        <x:f>IF(C342="","",MAX(0,ROUND(D342+E342-F342-G342-H342,2)))</x:f>
      </x:c>
      <x:c r="J342" s="88" t="str">
        <x:f>IF(C342="","",F342+G342+H342)</x:f>
      </x:c>
      <x:c r="K342" s="88" t="str">
        <x:f>IF(C342="","",MAX(0,SUMIFS(SONDERZAHLUNGEN!$E$9:$E$128,SONDERZAHLUNGEN!$B$9:$B$128,C342,SONDERZAHLUNGEN!$C$9:$C$128,A342,SONDERZAHLUNGEN!$H$9:$H$128,"OK",SONDERZAHLUNGEN!$F$9:$F$128,"Ja")-G342))</x:f>
      </x:c>
    </x:row>
    <x:row r="343" ht="19" customHeight="1">
      <x:c r="A343" s="90" t="n">
        <x:f>MONATSBUDGET!$A$24</x:f>
        <x:v>46722</x:v>
      </x:c>
      <x:c r="B343" t="n">
        <x:f>4</x:f>
        <x:v>4</x:v>
      </x:c>
      <x:c r="C343" t="str">
        <x:f>IF($N$12="","",$N$12)</x:f>
      </x:c>
      <x:c r="D343" s="88" t="str">
        <x:f>IF(C343="","",I323)</x:f>
      </x:c>
      <x:c r="E343" s="88" t="str">
        <x:f>IF(C343="","",ROUND(D343*$P$12/12,2))</x:f>
      </x:c>
      <x:c r="F343" s="88" t="str">
        <x:f>IF(C343="","",MIN(D343+E343,$Q$12))</x:f>
      </x:c>
      <x:c r="G343" s="88" t="str">
        <x:f>IF(C343="","",MIN(MAX(0,D343+E343-F343),SUMIFS(SONDERZAHLUNGEN!$E$9:$E$128,SONDERZAHLUNGEN!$B$9:$B$128,C343,SONDERZAHLUNGEN!$C$9:$C$128,A343,SONDERZAHLUNGEN!$H$9:$H$128,"OK",SONDERZAHLUNGEN!$F$9:$F$128,"Ja")))</x:f>
      </x:c>
      <x:c r="H343" s="88" t="str">
        <x:f>IF(C343="","",MIN(MAX(0,D343+E343-F343-G343),MAX(0,IF(MONATSBUDGET!$C$24="",0,MONATSBUDGET!$C$24)-SUM(F340:F359)-SUM(H340:H342))))</x:f>
      </x:c>
      <x:c r="I343" s="88" t="str">
        <x:f>IF(C343="","",MAX(0,ROUND(D343+E343-F343-G343-H343,2)))</x:f>
      </x:c>
      <x:c r="J343" s="88" t="str">
        <x:f>IF(C343="","",F343+G343+H343)</x:f>
      </x:c>
      <x:c r="K343" s="88" t="str">
        <x:f>IF(C343="","",MAX(0,SUMIFS(SONDERZAHLUNGEN!$E$9:$E$128,SONDERZAHLUNGEN!$B$9:$B$128,C343,SONDERZAHLUNGEN!$C$9:$C$128,A343,SONDERZAHLUNGEN!$H$9:$H$128,"OK",SONDERZAHLUNGEN!$F$9:$F$128,"Ja")-G343))</x:f>
      </x:c>
    </x:row>
    <x:row r="344" ht="19" customHeight="1">
      <x:c r="A344" s="90" t="n">
        <x:f>MONATSBUDGET!$A$24</x:f>
        <x:v>46722</x:v>
      </x:c>
      <x:c r="B344" t="n">
        <x:f>5</x:f>
        <x:v>5</x:v>
      </x:c>
      <x:c r="C344" t="str">
        <x:f>IF($N$13="","",$N$13)</x:f>
      </x:c>
      <x:c r="D344" s="88" t="str">
        <x:f>IF(C344="","",I324)</x:f>
      </x:c>
      <x:c r="E344" s="88" t="str">
        <x:f>IF(C344="","",ROUND(D344*$P$13/12,2))</x:f>
      </x:c>
      <x:c r="F344" s="88" t="str">
        <x:f>IF(C344="","",MIN(D344+E344,$Q$13))</x:f>
      </x:c>
      <x:c r="G344" s="88" t="str">
        <x:f>IF(C344="","",MIN(MAX(0,D344+E344-F344),SUMIFS(SONDERZAHLUNGEN!$E$9:$E$128,SONDERZAHLUNGEN!$B$9:$B$128,C344,SONDERZAHLUNGEN!$C$9:$C$128,A344,SONDERZAHLUNGEN!$H$9:$H$128,"OK",SONDERZAHLUNGEN!$F$9:$F$128,"Ja")))</x:f>
      </x:c>
      <x:c r="H344" s="88" t="str">
        <x:f>IF(C344="","",MIN(MAX(0,D344+E344-F344-G344),MAX(0,IF(MONATSBUDGET!$C$24="",0,MONATSBUDGET!$C$24)-SUM(F340:F359)-SUM(H340:H343))))</x:f>
      </x:c>
      <x:c r="I344" s="88" t="str">
        <x:f>IF(C344="","",MAX(0,ROUND(D344+E344-F344-G344-H344,2)))</x:f>
      </x:c>
      <x:c r="J344" s="88" t="str">
        <x:f>IF(C344="","",F344+G344+H344)</x:f>
      </x:c>
      <x:c r="K344" s="88" t="str">
        <x:f>IF(C344="","",MAX(0,SUMIFS(SONDERZAHLUNGEN!$E$9:$E$128,SONDERZAHLUNGEN!$B$9:$B$128,C344,SONDERZAHLUNGEN!$C$9:$C$128,A344,SONDERZAHLUNGEN!$H$9:$H$128,"OK",SONDERZAHLUNGEN!$F$9:$F$128,"Ja")-G344))</x:f>
      </x:c>
    </x:row>
    <x:row r="345" ht="19" customHeight="1">
      <x:c r="A345" s="90" t="n">
        <x:f>MONATSBUDGET!$A$24</x:f>
        <x:v>46722</x:v>
      </x:c>
      <x:c r="B345" t="n">
        <x:f>6</x:f>
        <x:v>6</x:v>
      </x:c>
      <x:c r="C345" t="str">
        <x:f>IF($N$14="","",$N$14)</x:f>
      </x:c>
      <x:c r="D345" s="88" t="str">
        <x:f>IF(C345="","",I325)</x:f>
      </x:c>
      <x:c r="E345" s="88" t="str">
        <x:f>IF(C345="","",ROUND(D345*$P$14/12,2))</x:f>
      </x:c>
      <x:c r="F345" s="88" t="str">
        <x:f>IF(C345="","",MIN(D345+E345,$Q$14))</x:f>
      </x:c>
      <x:c r="G345" s="88" t="str">
        <x:f>IF(C345="","",MIN(MAX(0,D345+E345-F345),SUMIFS(SONDERZAHLUNGEN!$E$9:$E$128,SONDERZAHLUNGEN!$B$9:$B$128,C345,SONDERZAHLUNGEN!$C$9:$C$128,A345,SONDERZAHLUNGEN!$H$9:$H$128,"OK",SONDERZAHLUNGEN!$F$9:$F$128,"Ja")))</x:f>
      </x:c>
      <x:c r="H345" s="88" t="str">
        <x:f>IF(C345="","",MIN(MAX(0,D345+E345-F345-G345),MAX(0,IF(MONATSBUDGET!$C$24="",0,MONATSBUDGET!$C$24)-SUM(F340:F359)-SUM(H340:H344))))</x:f>
      </x:c>
      <x:c r="I345" s="88" t="str">
        <x:f>IF(C345="","",MAX(0,ROUND(D345+E345-F345-G345-H345,2)))</x:f>
      </x:c>
      <x:c r="J345" s="88" t="str">
        <x:f>IF(C345="","",F345+G345+H345)</x:f>
      </x:c>
      <x:c r="K345" s="88" t="str">
        <x:f>IF(C345="","",MAX(0,SUMIFS(SONDERZAHLUNGEN!$E$9:$E$128,SONDERZAHLUNGEN!$B$9:$B$128,C345,SONDERZAHLUNGEN!$C$9:$C$128,A345,SONDERZAHLUNGEN!$H$9:$H$128,"OK",SONDERZAHLUNGEN!$F$9:$F$128,"Ja")-G345))</x:f>
      </x:c>
    </x:row>
    <x:row r="346" ht="19" customHeight="1">
      <x:c r="A346" s="90" t="n">
        <x:f>MONATSBUDGET!$A$24</x:f>
        <x:v>46722</x:v>
      </x:c>
      <x:c r="B346" t="n">
        <x:f>7</x:f>
        <x:v>7</x:v>
      </x:c>
      <x:c r="C346" t="str">
        <x:f>IF($N$15="","",$N$15)</x:f>
      </x:c>
      <x:c r="D346" s="88" t="str">
        <x:f>IF(C346="","",I326)</x:f>
      </x:c>
      <x:c r="E346" s="88" t="str">
        <x:f>IF(C346="","",ROUND(D346*$P$15/12,2))</x:f>
      </x:c>
      <x:c r="F346" s="88" t="str">
        <x:f>IF(C346="","",MIN(D346+E346,$Q$15))</x:f>
      </x:c>
      <x:c r="G346" s="88" t="str">
        <x:f>IF(C346="","",MIN(MAX(0,D346+E346-F346),SUMIFS(SONDERZAHLUNGEN!$E$9:$E$128,SONDERZAHLUNGEN!$B$9:$B$128,C346,SONDERZAHLUNGEN!$C$9:$C$128,A346,SONDERZAHLUNGEN!$H$9:$H$128,"OK",SONDERZAHLUNGEN!$F$9:$F$128,"Ja")))</x:f>
      </x:c>
      <x:c r="H346" s="88" t="str">
        <x:f>IF(C346="","",MIN(MAX(0,D346+E346-F346-G346),MAX(0,IF(MONATSBUDGET!$C$24="",0,MONATSBUDGET!$C$24)-SUM(F340:F359)-SUM(H340:H345))))</x:f>
      </x:c>
      <x:c r="I346" s="88" t="str">
        <x:f>IF(C346="","",MAX(0,ROUND(D346+E346-F346-G346-H346,2)))</x:f>
      </x:c>
      <x:c r="J346" s="88" t="str">
        <x:f>IF(C346="","",F346+G346+H346)</x:f>
      </x:c>
      <x:c r="K346" s="88" t="str">
        <x:f>IF(C346="","",MAX(0,SUMIFS(SONDERZAHLUNGEN!$E$9:$E$128,SONDERZAHLUNGEN!$B$9:$B$128,C346,SONDERZAHLUNGEN!$C$9:$C$128,A346,SONDERZAHLUNGEN!$H$9:$H$128,"OK",SONDERZAHLUNGEN!$F$9:$F$128,"Ja")-G346))</x:f>
      </x:c>
    </x:row>
    <x:row r="347" ht="19" customHeight="1">
      <x:c r="A347" s="90" t="n">
        <x:f>MONATSBUDGET!$A$24</x:f>
        <x:v>46722</x:v>
      </x:c>
      <x:c r="B347" t="n">
        <x:f>8</x:f>
        <x:v>8</x:v>
      </x:c>
      <x:c r="C347" t="str">
        <x:f>IF($N$16="","",$N$16)</x:f>
      </x:c>
      <x:c r="D347" s="88" t="str">
        <x:f>IF(C347="","",I327)</x:f>
      </x:c>
      <x:c r="E347" s="88" t="str">
        <x:f>IF(C347="","",ROUND(D347*$P$16/12,2))</x:f>
      </x:c>
      <x:c r="F347" s="88" t="str">
        <x:f>IF(C347="","",MIN(D347+E347,$Q$16))</x:f>
      </x:c>
      <x:c r="G347" s="88" t="str">
        <x:f>IF(C347="","",MIN(MAX(0,D347+E347-F347),SUMIFS(SONDERZAHLUNGEN!$E$9:$E$128,SONDERZAHLUNGEN!$B$9:$B$128,C347,SONDERZAHLUNGEN!$C$9:$C$128,A347,SONDERZAHLUNGEN!$H$9:$H$128,"OK",SONDERZAHLUNGEN!$F$9:$F$128,"Ja")))</x:f>
      </x:c>
      <x:c r="H347" s="88" t="str">
        <x:f>IF(C347="","",MIN(MAX(0,D347+E347-F347-G347),MAX(0,IF(MONATSBUDGET!$C$24="",0,MONATSBUDGET!$C$24)-SUM(F340:F359)-SUM(H340:H346))))</x:f>
      </x:c>
      <x:c r="I347" s="88" t="str">
        <x:f>IF(C347="","",MAX(0,ROUND(D347+E347-F347-G347-H347,2)))</x:f>
      </x:c>
      <x:c r="J347" s="88" t="str">
        <x:f>IF(C347="","",F347+G347+H347)</x:f>
      </x:c>
      <x:c r="K347" s="88" t="str">
        <x:f>IF(C347="","",MAX(0,SUMIFS(SONDERZAHLUNGEN!$E$9:$E$128,SONDERZAHLUNGEN!$B$9:$B$128,C347,SONDERZAHLUNGEN!$C$9:$C$128,A347,SONDERZAHLUNGEN!$H$9:$H$128,"OK",SONDERZAHLUNGEN!$F$9:$F$128,"Ja")-G347))</x:f>
      </x:c>
    </x:row>
    <x:row r="348" ht="19" customHeight="1">
      <x:c r="A348" s="90" t="n">
        <x:f>MONATSBUDGET!$A$24</x:f>
        <x:v>46722</x:v>
      </x:c>
      <x:c r="B348" t="n">
        <x:f>9</x:f>
        <x:v>9</x:v>
      </x:c>
      <x:c r="C348" t="str">
        <x:f>IF($N$17="","",$N$17)</x:f>
      </x:c>
      <x:c r="D348" s="88" t="str">
        <x:f>IF(C348="","",I328)</x:f>
      </x:c>
      <x:c r="E348" s="88" t="str">
        <x:f>IF(C348="","",ROUND(D348*$P$17/12,2))</x:f>
      </x:c>
      <x:c r="F348" s="88" t="str">
        <x:f>IF(C348="","",MIN(D348+E348,$Q$17))</x:f>
      </x:c>
      <x:c r="G348" s="88" t="str">
        <x:f>IF(C348="","",MIN(MAX(0,D348+E348-F348),SUMIFS(SONDERZAHLUNGEN!$E$9:$E$128,SONDERZAHLUNGEN!$B$9:$B$128,C348,SONDERZAHLUNGEN!$C$9:$C$128,A348,SONDERZAHLUNGEN!$H$9:$H$128,"OK",SONDERZAHLUNGEN!$F$9:$F$128,"Ja")))</x:f>
      </x:c>
      <x:c r="H348" s="88" t="str">
        <x:f>IF(C348="","",MIN(MAX(0,D348+E348-F348-G348),MAX(0,IF(MONATSBUDGET!$C$24="",0,MONATSBUDGET!$C$24)-SUM(F340:F359)-SUM(H340:H347))))</x:f>
      </x:c>
      <x:c r="I348" s="88" t="str">
        <x:f>IF(C348="","",MAX(0,ROUND(D348+E348-F348-G348-H348,2)))</x:f>
      </x:c>
      <x:c r="J348" s="88" t="str">
        <x:f>IF(C348="","",F348+G348+H348)</x:f>
      </x:c>
      <x:c r="K348" s="88" t="str">
        <x:f>IF(C348="","",MAX(0,SUMIFS(SONDERZAHLUNGEN!$E$9:$E$128,SONDERZAHLUNGEN!$B$9:$B$128,C348,SONDERZAHLUNGEN!$C$9:$C$128,A348,SONDERZAHLUNGEN!$H$9:$H$128,"OK",SONDERZAHLUNGEN!$F$9:$F$128,"Ja")-G348))</x:f>
      </x:c>
    </x:row>
    <x:row r="349" ht="19" customHeight="1">
      <x:c r="A349" s="90" t="n">
        <x:f>MONATSBUDGET!$A$24</x:f>
        <x:v>46722</x:v>
      </x:c>
      <x:c r="B349" t="n">
        <x:f>10</x:f>
        <x:v>10</x:v>
      </x:c>
      <x:c r="C349" t="str">
        <x:f>IF($N$18="","",$N$18)</x:f>
      </x:c>
      <x:c r="D349" s="88" t="str">
        <x:f>IF(C349="","",I329)</x:f>
      </x:c>
      <x:c r="E349" s="88" t="str">
        <x:f>IF(C349="","",ROUND(D349*$P$18/12,2))</x:f>
      </x:c>
      <x:c r="F349" s="88" t="str">
        <x:f>IF(C349="","",MIN(D349+E349,$Q$18))</x:f>
      </x:c>
      <x:c r="G349" s="88" t="str">
        <x:f>IF(C349="","",MIN(MAX(0,D349+E349-F349),SUMIFS(SONDERZAHLUNGEN!$E$9:$E$128,SONDERZAHLUNGEN!$B$9:$B$128,C349,SONDERZAHLUNGEN!$C$9:$C$128,A349,SONDERZAHLUNGEN!$H$9:$H$128,"OK",SONDERZAHLUNGEN!$F$9:$F$128,"Ja")))</x:f>
      </x:c>
      <x:c r="H349" s="88" t="str">
        <x:f>IF(C349="","",MIN(MAX(0,D349+E349-F349-G349),MAX(0,IF(MONATSBUDGET!$C$24="",0,MONATSBUDGET!$C$24)-SUM(F340:F359)-SUM(H340:H348))))</x:f>
      </x:c>
      <x:c r="I349" s="88" t="str">
        <x:f>IF(C349="","",MAX(0,ROUND(D349+E349-F349-G349-H349,2)))</x:f>
      </x:c>
      <x:c r="J349" s="88" t="str">
        <x:f>IF(C349="","",F349+G349+H349)</x:f>
      </x:c>
      <x:c r="K349" s="88" t="str">
        <x:f>IF(C349="","",MAX(0,SUMIFS(SONDERZAHLUNGEN!$E$9:$E$128,SONDERZAHLUNGEN!$B$9:$B$128,C349,SONDERZAHLUNGEN!$C$9:$C$128,A349,SONDERZAHLUNGEN!$H$9:$H$128,"OK",SONDERZAHLUNGEN!$F$9:$F$128,"Ja")-G349))</x:f>
      </x:c>
    </x:row>
    <x:row r="350" ht="19" customHeight="1">
      <x:c r="A350" s="90" t="n">
        <x:f>MONATSBUDGET!$A$24</x:f>
        <x:v>46722</x:v>
      </x:c>
      <x:c r="B350" t="n">
        <x:f>11</x:f>
        <x:v>11</x:v>
      </x:c>
      <x:c r="C350" t="str">
        <x:f>IF($N$19="","",$N$19)</x:f>
      </x:c>
      <x:c r="D350" s="88" t="str">
        <x:f>IF(C350="","",I330)</x:f>
      </x:c>
      <x:c r="E350" s="88" t="str">
        <x:f>IF(C350="","",ROUND(D350*$P$19/12,2))</x:f>
      </x:c>
      <x:c r="F350" s="88" t="str">
        <x:f>IF(C350="","",MIN(D350+E350,$Q$19))</x:f>
      </x:c>
      <x:c r="G350" s="88" t="str">
        <x:f>IF(C350="","",MIN(MAX(0,D350+E350-F350),SUMIFS(SONDERZAHLUNGEN!$E$9:$E$128,SONDERZAHLUNGEN!$B$9:$B$128,C350,SONDERZAHLUNGEN!$C$9:$C$128,A350,SONDERZAHLUNGEN!$H$9:$H$128,"OK",SONDERZAHLUNGEN!$F$9:$F$128,"Ja")))</x:f>
      </x:c>
      <x:c r="H350" s="88" t="str">
        <x:f>IF(C350="","",MIN(MAX(0,D350+E350-F350-G350),MAX(0,IF(MONATSBUDGET!$C$24="",0,MONATSBUDGET!$C$24)-SUM(F340:F359)-SUM(H340:H349))))</x:f>
      </x:c>
      <x:c r="I350" s="88" t="str">
        <x:f>IF(C350="","",MAX(0,ROUND(D350+E350-F350-G350-H350,2)))</x:f>
      </x:c>
      <x:c r="J350" s="88" t="str">
        <x:f>IF(C350="","",F350+G350+H350)</x:f>
      </x:c>
      <x:c r="K350" s="88" t="str">
        <x:f>IF(C350="","",MAX(0,SUMIFS(SONDERZAHLUNGEN!$E$9:$E$128,SONDERZAHLUNGEN!$B$9:$B$128,C350,SONDERZAHLUNGEN!$C$9:$C$128,A350,SONDERZAHLUNGEN!$H$9:$H$128,"OK",SONDERZAHLUNGEN!$F$9:$F$128,"Ja")-G350))</x:f>
      </x:c>
    </x:row>
    <x:row r="351" ht="19" customHeight="1">
      <x:c r="A351" s="90" t="n">
        <x:f>MONATSBUDGET!$A$24</x:f>
        <x:v>46722</x:v>
      </x:c>
      <x:c r="B351" t="n">
        <x:f>12</x:f>
        <x:v>12</x:v>
      </x:c>
      <x:c r="C351" t="str">
        <x:f>IF($N$20="","",$N$20)</x:f>
      </x:c>
      <x:c r="D351" s="88" t="str">
        <x:f>IF(C351="","",I331)</x:f>
      </x:c>
      <x:c r="E351" s="88" t="str">
        <x:f>IF(C351="","",ROUND(D351*$P$20/12,2))</x:f>
      </x:c>
      <x:c r="F351" s="88" t="str">
        <x:f>IF(C351="","",MIN(D351+E351,$Q$20))</x:f>
      </x:c>
      <x:c r="G351" s="88" t="str">
        <x:f>IF(C351="","",MIN(MAX(0,D351+E351-F351),SUMIFS(SONDERZAHLUNGEN!$E$9:$E$128,SONDERZAHLUNGEN!$B$9:$B$128,C351,SONDERZAHLUNGEN!$C$9:$C$128,A351,SONDERZAHLUNGEN!$H$9:$H$128,"OK",SONDERZAHLUNGEN!$F$9:$F$128,"Ja")))</x:f>
      </x:c>
      <x:c r="H351" s="88" t="str">
        <x:f>IF(C351="","",MIN(MAX(0,D351+E351-F351-G351),MAX(0,IF(MONATSBUDGET!$C$24="",0,MONATSBUDGET!$C$24)-SUM(F340:F359)-SUM(H340:H350))))</x:f>
      </x:c>
      <x:c r="I351" s="88" t="str">
        <x:f>IF(C351="","",MAX(0,ROUND(D351+E351-F351-G351-H351,2)))</x:f>
      </x:c>
      <x:c r="J351" s="88" t="str">
        <x:f>IF(C351="","",F351+G351+H351)</x:f>
      </x:c>
      <x:c r="K351" s="88" t="str">
        <x:f>IF(C351="","",MAX(0,SUMIFS(SONDERZAHLUNGEN!$E$9:$E$128,SONDERZAHLUNGEN!$B$9:$B$128,C351,SONDERZAHLUNGEN!$C$9:$C$128,A351,SONDERZAHLUNGEN!$H$9:$H$128,"OK",SONDERZAHLUNGEN!$F$9:$F$128,"Ja")-G351))</x:f>
      </x:c>
    </x:row>
    <x:row r="352" ht="19" customHeight="1">
      <x:c r="A352" s="90" t="n">
        <x:f>MONATSBUDGET!$A$24</x:f>
        <x:v>46722</x:v>
      </x:c>
      <x:c r="B352" t="n">
        <x:f>13</x:f>
        <x:v>13</x:v>
      </x:c>
      <x:c r="C352" t="str">
        <x:f>IF($N$21="","",$N$21)</x:f>
      </x:c>
      <x:c r="D352" s="88" t="str">
        <x:f>IF(C352="","",I332)</x:f>
      </x:c>
      <x:c r="E352" s="88" t="str">
        <x:f>IF(C352="","",ROUND(D352*$P$21/12,2))</x:f>
      </x:c>
      <x:c r="F352" s="88" t="str">
        <x:f>IF(C352="","",MIN(D352+E352,$Q$21))</x:f>
      </x:c>
      <x:c r="G352" s="88" t="str">
        <x:f>IF(C352="","",MIN(MAX(0,D352+E352-F352),SUMIFS(SONDERZAHLUNGEN!$E$9:$E$128,SONDERZAHLUNGEN!$B$9:$B$128,C352,SONDERZAHLUNGEN!$C$9:$C$128,A352,SONDERZAHLUNGEN!$H$9:$H$128,"OK",SONDERZAHLUNGEN!$F$9:$F$128,"Ja")))</x:f>
      </x:c>
      <x:c r="H352" s="88" t="str">
        <x:f>IF(C352="","",MIN(MAX(0,D352+E352-F352-G352),MAX(0,IF(MONATSBUDGET!$C$24="",0,MONATSBUDGET!$C$24)-SUM(F340:F359)-SUM(H340:H351))))</x:f>
      </x:c>
      <x:c r="I352" s="88" t="str">
        <x:f>IF(C352="","",MAX(0,ROUND(D352+E352-F352-G352-H352,2)))</x:f>
      </x:c>
      <x:c r="J352" s="88" t="str">
        <x:f>IF(C352="","",F352+G352+H352)</x:f>
      </x:c>
      <x:c r="K352" s="88" t="str">
        <x:f>IF(C352="","",MAX(0,SUMIFS(SONDERZAHLUNGEN!$E$9:$E$128,SONDERZAHLUNGEN!$B$9:$B$128,C352,SONDERZAHLUNGEN!$C$9:$C$128,A352,SONDERZAHLUNGEN!$H$9:$H$128,"OK",SONDERZAHLUNGEN!$F$9:$F$128,"Ja")-G352))</x:f>
      </x:c>
    </x:row>
    <x:row r="353" ht="19" customHeight="1">
      <x:c r="A353" s="90" t="n">
        <x:f>MONATSBUDGET!$A$24</x:f>
        <x:v>46722</x:v>
      </x:c>
      <x:c r="B353" t="n">
        <x:f>14</x:f>
        <x:v>14</x:v>
      </x:c>
      <x:c r="C353" t="str">
        <x:f>IF($N$22="","",$N$22)</x:f>
      </x:c>
      <x:c r="D353" s="88" t="str">
        <x:f>IF(C353="","",I333)</x:f>
      </x:c>
      <x:c r="E353" s="88" t="str">
        <x:f>IF(C353="","",ROUND(D353*$P$22/12,2))</x:f>
      </x:c>
      <x:c r="F353" s="88" t="str">
        <x:f>IF(C353="","",MIN(D353+E353,$Q$22))</x:f>
      </x:c>
      <x:c r="G353" s="88" t="str">
        <x:f>IF(C353="","",MIN(MAX(0,D353+E353-F353),SUMIFS(SONDERZAHLUNGEN!$E$9:$E$128,SONDERZAHLUNGEN!$B$9:$B$128,C353,SONDERZAHLUNGEN!$C$9:$C$128,A353,SONDERZAHLUNGEN!$H$9:$H$128,"OK",SONDERZAHLUNGEN!$F$9:$F$128,"Ja")))</x:f>
      </x:c>
      <x:c r="H353" s="88" t="str">
        <x:f>IF(C353="","",MIN(MAX(0,D353+E353-F353-G353),MAX(0,IF(MONATSBUDGET!$C$24="",0,MONATSBUDGET!$C$24)-SUM(F340:F359)-SUM(H340:H352))))</x:f>
      </x:c>
      <x:c r="I353" s="88" t="str">
        <x:f>IF(C353="","",MAX(0,ROUND(D353+E353-F353-G353-H353,2)))</x:f>
      </x:c>
      <x:c r="J353" s="88" t="str">
        <x:f>IF(C353="","",F353+G353+H353)</x:f>
      </x:c>
      <x:c r="K353" s="88" t="str">
        <x:f>IF(C353="","",MAX(0,SUMIFS(SONDERZAHLUNGEN!$E$9:$E$128,SONDERZAHLUNGEN!$B$9:$B$128,C353,SONDERZAHLUNGEN!$C$9:$C$128,A353,SONDERZAHLUNGEN!$H$9:$H$128,"OK",SONDERZAHLUNGEN!$F$9:$F$128,"Ja")-G353))</x:f>
      </x:c>
    </x:row>
    <x:row r="354" ht="19" customHeight="1">
      <x:c r="A354" s="90" t="n">
        <x:f>MONATSBUDGET!$A$24</x:f>
        <x:v>46722</x:v>
      </x:c>
      <x:c r="B354" t="n">
        <x:f>15</x:f>
        <x:v>15</x:v>
      </x:c>
      <x:c r="C354" t="str">
        <x:f>IF($N$23="","",$N$23)</x:f>
      </x:c>
      <x:c r="D354" s="88" t="str">
        <x:f>IF(C354="","",I334)</x:f>
      </x:c>
      <x:c r="E354" s="88" t="str">
        <x:f>IF(C354="","",ROUND(D354*$P$23/12,2))</x:f>
      </x:c>
      <x:c r="F354" s="88" t="str">
        <x:f>IF(C354="","",MIN(D354+E354,$Q$23))</x:f>
      </x:c>
      <x:c r="G354" s="88" t="str">
        <x:f>IF(C354="","",MIN(MAX(0,D354+E354-F354),SUMIFS(SONDERZAHLUNGEN!$E$9:$E$128,SONDERZAHLUNGEN!$B$9:$B$128,C354,SONDERZAHLUNGEN!$C$9:$C$128,A354,SONDERZAHLUNGEN!$H$9:$H$128,"OK",SONDERZAHLUNGEN!$F$9:$F$128,"Ja")))</x:f>
      </x:c>
      <x:c r="H354" s="88" t="str">
        <x:f>IF(C354="","",MIN(MAX(0,D354+E354-F354-G354),MAX(0,IF(MONATSBUDGET!$C$24="",0,MONATSBUDGET!$C$24)-SUM(F340:F359)-SUM(H340:H353))))</x:f>
      </x:c>
      <x:c r="I354" s="88" t="str">
        <x:f>IF(C354="","",MAX(0,ROUND(D354+E354-F354-G354-H354,2)))</x:f>
      </x:c>
      <x:c r="J354" s="88" t="str">
        <x:f>IF(C354="","",F354+G354+H354)</x:f>
      </x:c>
      <x:c r="K354" s="88" t="str">
        <x:f>IF(C354="","",MAX(0,SUMIFS(SONDERZAHLUNGEN!$E$9:$E$128,SONDERZAHLUNGEN!$B$9:$B$128,C354,SONDERZAHLUNGEN!$C$9:$C$128,A354,SONDERZAHLUNGEN!$H$9:$H$128,"OK",SONDERZAHLUNGEN!$F$9:$F$128,"Ja")-G354))</x:f>
      </x:c>
    </x:row>
    <x:row r="355" ht="19" customHeight="1">
      <x:c r="A355" s="90" t="n">
        <x:f>MONATSBUDGET!$A$24</x:f>
        <x:v>46722</x:v>
      </x:c>
      <x:c r="B355" t="n">
        <x:f>16</x:f>
        <x:v>16</x:v>
      </x:c>
      <x:c r="C355" t="str">
        <x:f>IF($N$24="","",$N$24)</x:f>
      </x:c>
      <x:c r="D355" s="88" t="str">
        <x:f>IF(C355="","",I335)</x:f>
      </x:c>
      <x:c r="E355" s="88" t="str">
        <x:f>IF(C355="","",ROUND(D355*$P$24/12,2))</x:f>
      </x:c>
      <x:c r="F355" s="88" t="str">
        <x:f>IF(C355="","",MIN(D355+E355,$Q$24))</x:f>
      </x:c>
      <x:c r="G355" s="88" t="str">
        <x:f>IF(C355="","",MIN(MAX(0,D355+E355-F355),SUMIFS(SONDERZAHLUNGEN!$E$9:$E$128,SONDERZAHLUNGEN!$B$9:$B$128,C355,SONDERZAHLUNGEN!$C$9:$C$128,A355,SONDERZAHLUNGEN!$H$9:$H$128,"OK",SONDERZAHLUNGEN!$F$9:$F$128,"Ja")))</x:f>
      </x:c>
      <x:c r="H355" s="88" t="str">
        <x:f>IF(C355="","",MIN(MAX(0,D355+E355-F355-G355),MAX(0,IF(MONATSBUDGET!$C$24="",0,MONATSBUDGET!$C$24)-SUM(F340:F359)-SUM(H340:H354))))</x:f>
      </x:c>
      <x:c r="I355" s="88" t="str">
        <x:f>IF(C355="","",MAX(0,ROUND(D355+E355-F355-G355-H355,2)))</x:f>
      </x:c>
      <x:c r="J355" s="88" t="str">
        <x:f>IF(C355="","",F355+G355+H355)</x:f>
      </x:c>
      <x:c r="K355" s="88" t="str">
        <x:f>IF(C355="","",MAX(0,SUMIFS(SONDERZAHLUNGEN!$E$9:$E$128,SONDERZAHLUNGEN!$B$9:$B$128,C355,SONDERZAHLUNGEN!$C$9:$C$128,A355,SONDERZAHLUNGEN!$H$9:$H$128,"OK",SONDERZAHLUNGEN!$F$9:$F$128,"Ja")-G355))</x:f>
      </x:c>
    </x:row>
    <x:row r="356" ht="19" customHeight="1">
      <x:c r="A356" s="90" t="n">
        <x:f>MONATSBUDGET!$A$24</x:f>
        <x:v>46722</x:v>
      </x:c>
      <x:c r="B356" t="n">
        <x:f>17</x:f>
        <x:v>17</x:v>
      </x:c>
      <x:c r="C356" t="str">
        <x:f>IF($N$25="","",$N$25)</x:f>
      </x:c>
      <x:c r="D356" s="88" t="str">
        <x:f>IF(C356="","",I336)</x:f>
      </x:c>
      <x:c r="E356" s="88" t="str">
        <x:f>IF(C356="","",ROUND(D356*$P$25/12,2))</x:f>
      </x:c>
      <x:c r="F356" s="88" t="str">
        <x:f>IF(C356="","",MIN(D356+E356,$Q$25))</x:f>
      </x:c>
      <x:c r="G356" s="88" t="str">
        <x:f>IF(C356="","",MIN(MAX(0,D356+E356-F356),SUMIFS(SONDERZAHLUNGEN!$E$9:$E$128,SONDERZAHLUNGEN!$B$9:$B$128,C356,SONDERZAHLUNGEN!$C$9:$C$128,A356,SONDERZAHLUNGEN!$H$9:$H$128,"OK",SONDERZAHLUNGEN!$F$9:$F$128,"Ja")))</x:f>
      </x:c>
      <x:c r="H356" s="88" t="str">
        <x:f>IF(C356="","",MIN(MAX(0,D356+E356-F356-G356),MAX(0,IF(MONATSBUDGET!$C$24="",0,MONATSBUDGET!$C$24)-SUM(F340:F359)-SUM(H340:H355))))</x:f>
      </x:c>
      <x:c r="I356" s="88" t="str">
        <x:f>IF(C356="","",MAX(0,ROUND(D356+E356-F356-G356-H356,2)))</x:f>
      </x:c>
      <x:c r="J356" s="88" t="str">
        <x:f>IF(C356="","",F356+G356+H356)</x:f>
      </x:c>
      <x:c r="K356" s="88" t="str">
        <x:f>IF(C356="","",MAX(0,SUMIFS(SONDERZAHLUNGEN!$E$9:$E$128,SONDERZAHLUNGEN!$B$9:$B$128,C356,SONDERZAHLUNGEN!$C$9:$C$128,A356,SONDERZAHLUNGEN!$H$9:$H$128,"OK",SONDERZAHLUNGEN!$F$9:$F$128,"Ja")-G356))</x:f>
      </x:c>
    </x:row>
    <x:row r="357" ht="19" customHeight="1">
      <x:c r="A357" s="90" t="n">
        <x:f>MONATSBUDGET!$A$24</x:f>
        <x:v>46722</x:v>
      </x:c>
      <x:c r="B357" t="n">
        <x:f>18</x:f>
        <x:v>18</x:v>
      </x:c>
      <x:c r="C357" t="str">
        <x:f>IF($N$26="","",$N$26)</x:f>
      </x:c>
      <x:c r="D357" s="88" t="str">
        <x:f>IF(C357="","",I337)</x:f>
      </x:c>
      <x:c r="E357" s="88" t="str">
        <x:f>IF(C357="","",ROUND(D357*$P$26/12,2))</x:f>
      </x:c>
      <x:c r="F357" s="88" t="str">
        <x:f>IF(C357="","",MIN(D357+E357,$Q$26))</x:f>
      </x:c>
      <x:c r="G357" s="88" t="str">
        <x:f>IF(C357="","",MIN(MAX(0,D357+E357-F357),SUMIFS(SONDERZAHLUNGEN!$E$9:$E$128,SONDERZAHLUNGEN!$B$9:$B$128,C357,SONDERZAHLUNGEN!$C$9:$C$128,A357,SONDERZAHLUNGEN!$H$9:$H$128,"OK",SONDERZAHLUNGEN!$F$9:$F$128,"Ja")))</x:f>
      </x:c>
      <x:c r="H357" s="88" t="str">
        <x:f>IF(C357="","",MIN(MAX(0,D357+E357-F357-G357),MAX(0,IF(MONATSBUDGET!$C$24="",0,MONATSBUDGET!$C$24)-SUM(F340:F359)-SUM(H340:H356))))</x:f>
      </x:c>
      <x:c r="I357" s="88" t="str">
        <x:f>IF(C357="","",MAX(0,ROUND(D357+E357-F357-G357-H357,2)))</x:f>
      </x:c>
      <x:c r="J357" s="88" t="str">
        <x:f>IF(C357="","",F357+G357+H357)</x:f>
      </x:c>
      <x:c r="K357" s="88" t="str">
        <x:f>IF(C357="","",MAX(0,SUMIFS(SONDERZAHLUNGEN!$E$9:$E$128,SONDERZAHLUNGEN!$B$9:$B$128,C357,SONDERZAHLUNGEN!$C$9:$C$128,A357,SONDERZAHLUNGEN!$H$9:$H$128,"OK",SONDERZAHLUNGEN!$F$9:$F$128,"Ja")-G357))</x:f>
      </x:c>
    </x:row>
    <x:row r="358" ht="19" customHeight="1">
      <x:c r="A358" s="90" t="n">
        <x:f>MONATSBUDGET!$A$24</x:f>
        <x:v>46722</x:v>
      </x:c>
      <x:c r="B358" t="n">
        <x:f>19</x:f>
        <x:v>19</x:v>
      </x:c>
      <x:c r="C358" t="str">
        <x:f>IF($N$27="","",$N$27)</x:f>
      </x:c>
      <x:c r="D358" s="88" t="str">
        <x:f>IF(C358="","",I338)</x:f>
      </x:c>
      <x:c r="E358" s="88" t="str">
        <x:f>IF(C358="","",ROUND(D358*$P$27/12,2))</x:f>
      </x:c>
      <x:c r="F358" s="88" t="str">
        <x:f>IF(C358="","",MIN(D358+E358,$Q$27))</x:f>
      </x:c>
      <x:c r="G358" s="88" t="str">
        <x:f>IF(C358="","",MIN(MAX(0,D358+E358-F358),SUMIFS(SONDERZAHLUNGEN!$E$9:$E$128,SONDERZAHLUNGEN!$B$9:$B$128,C358,SONDERZAHLUNGEN!$C$9:$C$128,A358,SONDERZAHLUNGEN!$H$9:$H$128,"OK",SONDERZAHLUNGEN!$F$9:$F$128,"Ja")))</x:f>
      </x:c>
      <x:c r="H358" s="88" t="str">
        <x:f>IF(C358="","",MIN(MAX(0,D358+E358-F358-G358),MAX(0,IF(MONATSBUDGET!$C$24="",0,MONATSBUDGET!$C$24)-SUM(F340:F359)-SUM(H340:H357))))</x:f>
      </x:c>
      <x:c r="I358" s="88" t="str">
        <x:f>IF(C358="","",MAX(0,ROUND(D358+E358-F358-G358-H358,2)))</x:f>
      </x:c>
      <x:c r="J358" s="88" t="str">
        <x:f>IF(C358="","",F358+G358+H358)</x:f>
      </x:c>
      <x:c r="K358" s="88" t="str">
        <x:f>IF(C358="","",MAX(0,SUMIFS(SONDERZAHLUNGEN!$E$9:$E$128,SONDERZAHLUNGEN!$B$9:$B$128,C358,SONDERZAHLUNGEN!$C$9:$C$128,A358,SONDERZAHLUNGEN!$H$9:$H$128,"OK",SONDERZAHLUNGEN!$F$9:$F$128,"Ja")-G358))</x:f>
      </x:c>
    </x:row>
    <x:row r="359" ht="19" customHeight="1">
      <x:c r="A359" s="90" t="n">
        <x:f>MONATSBUDGET!$A$24</x:f>
        <x:v>46722</x:v>
      </x:c>
      <x:c r="B359" t="n">
        <x:f>20</x:f>
        <x:v>20</x:v>
      </x:c>
      <x:c r="C359" t="str">
        <x:f>IF($N$28="","",$N$28)</x:f>
      </x:c>
      <x:c r="D359" s="88" t="str">
        <x:f>IF(C359="","",I339)</x:f>
      </x:c>
      <x:c r="E359" s="88" t="str">
        <x:f>IF(C359="","",ROUND(D359*$P$28/12,2))</x:f>
      </x:c>
      <x:c r="F359" s="88" t="str">
        <x:f>IF(C359="","",MIN(D359+E359,$Q$28))</x:f>
      </x:c>
      <x:c r="G359" s="88" t="str">
        <x:f>IF(C359="","",MIN(MAX(0,D359+E359-F359),SUMIFS(SONDERZAHLUNGEN!$E$9:$E$128,SONDERZAHLUNGEN!$B$9:$B$128,C359,SONDERZAHLUNGEN!$C$9:$C$128,A359,SONDERZAHLUNGEN!$H$9:$H$128,"OK",SONDERZAHLUNGEN!$F$9:$F$128,"Ja")))</x:f>
      </x:c>
      <x:c r="H359" s="88" t="str">
        <x:f>IF(C359="","",MIN(MAX(0,D359+E359-F359-G359),MAX(0,IF(MONATSBUDGET!$C$24="",0,MONATSBUDGET!$C$24)-SUM(F340:F359)-SUM(H340:H358))))</x:f>
      </x:c>
      <x:c r="I359" s="88" t="str">
        <x:f>IF(C359="","",MAX(0,ROUND(D359+E359-F359-G359-H359,2)))</x:f>
      </x:c>
      <x:c r="J359" s="88" t="str">
        <x:f>IF(C359="","",F359+G359+H359)</x:f>
      </x:c>
      <x:c r="K359" s="88" t="str">
        <x:f>IF(C359="","",MAX(0,SUMIFS(SONDERZAHLUNGEN!$E$9:$E$128,SONDERZAHLUNGEN!$B$9:$B$128,C359,SONDERZAHLUNGEN!$C$9:$C$128,A359,SONDERZAHLUNGEN!$H$9:$H$128,"OK",SONDERZAHLUNGEN!$F$9:$F$128,"Ja")-G359))</x:f>
      </x:c>
    </x:row>
    <x:row r="360" ht="19" customHeight="1">
      <x:c r="A360" s="90" t="n">
        <x:f>MONATSBUDGET!$A$25</x:f>
        <x:v>46753</x:v>
      </x:c>
      <x:c r="B360" t="n">
        <x:f>1</x:f>
        <x:v>1</x:v>
      </x:c>
      <x:c r="C360" t="str">
        <x:f>IF($N$9="","",$N$9)</x:f>
      </x:c>
      <x:c r="D360" s="88" t="str">
        <x:f>IF(C360="","",I340)</x:f>
      </x:c>
      <x:c r="E360" s="88" t="str">
        <x:f>IF(C360="","",ROUND(D360*$P$9/12,2))</x:f>
      </x:c>
      <x:c r="F360" s="88" t="str">
        <x:f>IF(C360="","",MIN(D360+E360,$Q$9))</x:f>
      </x:c>
      <x:c r="G360" s="88" t="str">
        <x:f>IF(C360="","",MIN(MAX(0,D360+E360-F360),SUMIFS(SONDERZAHLUNGEN!$E$9:$E$128,SONDERZAHLUNGEN!$B$9:$B$128,C360,SONDERZAHLUNGEN!$C$9:$C$128,A360,SONDERZAHLUNGEN!$H$9:$H$128,"OK",SONDERZAHLUNGEN!$F$9:$F$128,"Ja")))</x:f>
      </x:c>
      <x:c r="H360" s="88" t="str">
        <x:f>IF(C360="","",MIN(MAX(0,D360+E360-F360-G360),MAX(0,IF(MONATSBUDGET!$C$25="",0,MONATSBUDGET!$C$25)-SUM(F360:F379)-0)))</x:f>
      </x:c>
      <x:c r="I360" s="88" t="str">
        <x:f>IF(C360="","",MAX(0,ROUND(D360+E360-F360-G360-H360,2)))</x:f>
      </x:c>
      <x:c r="J360" s="88" t="str">
        <x:f>IF(C360="","",F360+G360+H360)</x:f>
      </x:c>
      <x:c r="K360" s="88" t="str">
        <x:f>IF(C360="","",MAX(0,SUMIFS(SONDERZAHLUNGEN!$E$9:$E$128,SONDERZAHLUNGEN!$B$9:$B$128,C360,SONDERZAHLUNGEN!$C$9:$C$128,A360,SONDERZAHLUNGEN!$H$9:$H$128,"OK",SONDERZAHLUNGEN!$F$9:$F$128,"Ja")-G360))</x:f>
      </x:c>
    </x:row>
    <x:row r="361" ht="19" customHeight="1">
      <x:c r="A361" s="90" t="n">
        <x:f>MONATSBUDGET!$A$25</x:f>
        <x:v>46753</x:v>
      </x:c>
      <x:c r="B361" t="n">
        <x:f>2</x:f>
        <x:v>2</x:v>
      </x:c>
      <x:c r="C361" t="str">
        <x:f>IF($N$10="","",$N$10)</x:f>
      </x:c>
      <x:c r="D361" s="88" t="str">
        <x:f>IF(C361="","",I341)</x:f>
      </x:c>
      <x:c r="E361" s="88" t="str">
        <x:f>IF(C361="","",ROUND(D361*$P$10/12,2))</x:f>
      </x:c>
      <x:c r="F361" s="88" t="str">
        <x:f>IF(C361="","",MIN(D361+E361,$Q$10))</x:f>
      </x:c>
      <x:c r="G361" s="88" t="str">
        <x:f>IF(C361="","",MIN(MAX(0,D361+E361-F361),SUMIFS(SONDERZAHLUNGEN!$E$9:$E$128,SONDERZAHLUNGEN!$B$9:$B$128,C361,SONDERZAHLUNGEN!$C$9:$C$128,A361,SONDERZAHLUNGEN!$H$9:$H$128,"OK",SONDERZAHLUNGEN!$F$9:$F$128,"Ja")))</x:f>
      </x:c>
      <x:c r="H361" s="88" t="str">
        <x:f>IF(C361="","",MIN(MAX(0,D361+E361-F361-G361),MAX(0,IF(MONATSBUDGET!$C$25="",0,MONATSBUDGET!$C$25)-SUM(F360:F379)-SUM(H360:H360))))</x:f>
      </x:c>
      <x:c r="I361" s="88" t="str">
        <x:f>IF(C361="","",MAX(0,ROUND(D361+E361-F361-G361-H361,2)))</x:f>
      </x:c>
      <x:c r="J361" s="88" t="str">
        <x:f>IF(C361="","",F361+G361+H361)</x:f>
      </x:c>
      <x:c r="K361" s="88" t="str">
        <x:f>IF(C361="","",MAX(0,SUMIFS(SONDERZAHLUNGEN!$E$9:$E$128,SONDERZAHLUNGEN!$B$9:$B$128,C361,SONDERZAHLUNGEN!$C$9:$C$128,A361,SONDERZAHLUNGEN!$H$9:$H$128,"OK",SONDERZAHLUNGEN!$F$9:$F$128,"Ja")-G361))</x:f>
      </x:c>
    </x:row>
    <x:row r="362" ht="19" customHeight="1">
      <x:c r="A362" s="90" t="n">
        <x:f>MONATSBUDGET!$A$25</x:f>
        <x:v>46753</x:v>
      </x:c>
      <x:c r="B362" t="n">
        <x:f>3</x:f>
        <x:v>3</x:v>
      </x:c>
      <x:c r="C362" t="str">
        <x:f>IF($N$11="","",$N$11)</x:f>
      </x:c>
      <x:c r="D362" s="88" t="str">
        <x:f>IF(C362="","",I342)</x:f>
      </x:c>
      <x:c r="E362" s="88" t="str">
        <x:f>IF(C362="","",ROUND(D362*$P$11/12,2))</x:f>
      </x:c>
      <x:c r="F362" s="88" t="str">
        <x:f>IF(C362="","",MIN(D362+E362,$Q$11))</x:f>
      </x:c>
      <x:c r="G362" s="88" t="str">
        <x:f>IF(C362="","",MIN(MAX(0,D362+E362-F362),SUMIFS(SONDERZAHLUNGEN!$E$9:$E$128,SONDERZAHLUNGEN!$B$9:$B$128,C362,SONDERZAHLUNGEN!$C$9:$C$128,A362,SONDERZAHLUNGEN!$H$9:$H$128,"OK",SONDERZAHLUNGEN!$F$9:$F$128,"Ja")))</x:f>
      </x:c>
      <x:c r="H362" s="88" t="str">
        <x:f>IF(C362="","",MIN(MAX(0,D362+E362-F362-G362),MAX(0,IF(MONATSBUDGET!$C$25="",0,MONATSBUDGET!$C$25)-SUM(F360:F379)-SUM(H360:H361))))</x:f>
      </x:c>
      <x:c r="I362" s="88" t="str">
        <x:f>IF(C362="","",MAX(0,ROUND(D362+E362-F362-G362-H362,2)))</x:f>
      </x:c>
      <x:c r="J362" s="88" t="str">
        <x:f>IF(C362="","",F362+G362+H362)</x:f>
      </x:c>
      <x:c r="K362" s="88" t="str">
        <x:f>IF(C362="","",MAX(0,SUMIFS(SONDERZAHLUNGEN!$E$9:$E$128,SONDERZAHLUNGEN!$B$9:$B$128,C362,SONDERZAHLUNGEN!$C$9:$C$128,A362,SONDERZAHLUNGEN!$H$9:$H$128,"OK",SONDERZAHLUNGEN!$F$9:$F$128,"Ja")-G362))</x:f>
      </x:c>
    </x:row>
    <x:row r="363" ht="19" customHeight="1">
      <x:c r="A363" s="90" t="n">
        <x:f>MONATSBUDGET!$A$25</x:f>
        <x:v>46753</x:v>
      </x:c>
      <x:c r="B363" t="n">
        <x:f>4</x:f>
        <x:v>4</x:v>
      </x:c>
      <x:c r="C363" t="str">
        <x:f>IF($N$12="","",$N$12)</x:f>
      </x:c>
      <x:c r="D363" s="88" t="str">
        <x:f>IF(C363="","",I343)</x:f>
      </x:c>
      <x:c r="E363" s="88" t="str">
        <x:f>IF(C363="","",ROUND(D363*$P$12/12,2))</x:f>
      </x:c>
      <x:c r="F363" s="88" t="str">
        <x:f>IF(C363="","",MIN(D363+E363,$Q$12))</x:f>
      </x:c>
      <x:c r="G363" s="88" t="str">
        <x:f>IF(C363="","",MIN(MAX(0,D363+E363-F363),SUMIFS(SONDERZAHLUNGEN!$E$9:$E$128,SONDERZAHLUNGEN!$B$9:$B$128,C363,SONDERZAHLUNGEN!$C$9:$C$128,A363,SONDERZAHLUNGEN!$H$9:$H$128,"OK",SONDERZAHLUNGEN!$F$9:$F$128,"Ja")))</x:f>
      </x:c>
      <x:c r="H363" s="88" t="str">
        <x:f>IF(C363="","",MIN(MAX(0,D363+E363-F363-G363),MAX(0,IF(MONATSBUDGET!$C$25="",0,MONATSBUDGET!$C$25)-SUM(F360:F379)-SUM(H360:H362))))</x:f>
      </x:c>
      <x:c r="I363" s="88" t="str">
        <x:f>IF(C363="","",MAX(0,ROUND(D363+E363-F363-G363-H363,2)))</x:f>
      </x:c>
      <x:c r="J363" s="88" t="str">
        <x:f>IF(C363="","",F363+G363+H363)</x:f>
      </x:c>
      <x:c r="K363" s="88" t="str">
        <x:f>IF(C363="","",MAX(0,SUMIFS(SONDERZAHLUNGEN!$E$9:$E$128,SONDERZAHLUNGEN!$B$9:$B$128,C363,SONDERZAHLUNGEN!$C$9:$C$128,A363,SONDERZAHLUNGEN!$H$9:$H$128,"OK",SONDERZAHLUNGEN!$F$9:$F$128,"Ja")-G363))</x:f>
      </x:c>
    </x:row>
    <x:row r="364" ht="19" customHeight="1">
      <x:c r="A364" s="90" t="n">
        <x:f>MONATSBUDGET!$A$25</x:f>
        <x:v>46753</x:v>
      </x:c>
      <x:c r="B364" t="n">
        <x:f>5</x:f>
        <x:v>5</x:v>
      </x:c>
      <x:c r="C364" t="str">
        <x:f>IF($N$13="","",$N$13)</x:f>
      </x:c>
      <x:c r="D364" s="88" t="str">
        <x:f>IF(C364="","",I344)</x:f>
      </x:c>
      <x:c r="E364" s="88" t="str">
        <x:f>IF(C364="","",ROUND(D364*$P$13/12,2))</x:f>
      </x:c>
      <x:c r="F364" s="88" t="str">
        <x:f>IF(C364="","",MIN(D364+E364,$Q$13))</x:f>
      </x:c>
      <x:c r="G364" s="88" t="str">
        <x:f>IF(C364="","",MIN(MAX(0,D364+E364-F364),SUMIFS(SONDERZAHLUNGEN!$E$9:$E$128,SONDERZAHLUNGEN!$B$9:$B$128,C364,SONDERZAHLUNGEN!$C$9:$C$128,A364,SONDERZAHLUNGEN!$H$9:$H$128,"OK",SONDERZAHLUNGEN!$F$9:$F$128,"Ja")))</x:f>
      </x:c>
      <x:c r="H364" s="88" t="str">
        <x:f>IF(C364="","",MIN(MAX(0,D364+E364-F364-G364),MAX(0,IF(MONATSBUDGET!$C$25="",0,MONATSBUDGET!$C$25)-SUM(F360:F379)-SUM(H360:H363))))</x:f>
      </x:c>
      <x:c r="I364" s="88" t="str">
        <x:f>IF(C364="","",MAX(0,ROUND(D364+E364-F364-G364-H364,2)))</x:f>
      </x:c>
      <x:c r="J364" s="88" t="str">
        <x:f>IF(C364="","",F364+G364+H364)</x:f>
      </x:c>
      <x:c r="K364" s="88" t="str">
        <x:f>IF(C364="","",MAX(0,SUMIFS(SONDERZAHLUNGEN!$E$9:$E$128,SONDERZAHLUNGEN!$B$9:$B$128,C364,SONDERZAHLUNGEN!$C$9:$C$128,A364,SONDERZAHLUNGEN!$H$9:$H$128,"OK",SONDERZAHLUNGEN!$F$9:$F$128,"Ja")-G364))</x:f>
      </x:c>
    </x:row>
    <x:row r="365" ht="19" customHeight="1">
      <x:c r="A365" s="90" t="n">
        <x:f>MONATSBUDGET!$A$25</x:f>
        <x:v>46753</x:v>
      </x:c>
      <x:c r="B365" t="n">
        <x:f>6</x:f>
        <x:v>6</x:v>
      </x:c>
      <x:c r="C365" t="str">
        <x:f>IF($N$14="","",$N$14)</x:f>
      </x:c>
      <x:c r="D365" s="88" t="str">
        <x:f>IF(C365="","",I345)</x:f>
      </x:c>
      <x:c r="E365" s="88" t="str">
        <x:f>IF(C365="","",ROUND(D365*$P$14/12,2))</x:f>
      </x:c>
      <x:c r="F365" s="88" t="str">
        <x:f>IF(C365="","",MIN(D365+E365,$Q$14))</x:f>
      </x:c>
      <x:c r="G365" s="88" t="str">
        <x:f>IF(C365="","",MIN(MAX(0,D365+E365-F365),SUMIFS(SONDERZAHLUNGEN!$E$9:$E$128,SONDERZAHLUNGEN!$B$9:$B$128,C365,SONDERZAHLUNGEN!$C$9:$C$128,A365,SONDERZAHLUNGEN!$H$9:$H$128,"OK",SONDERZAHLUNGEN!$F$9:$F$128,"Ja")))</x:f>
      </x:c>
      <x:c r="H365" s="88" t="str">
        <x:f>IF(C365="","",MIN(MAX(0,D365+E365-F365-G365),MAX(0,IF(MONATSBUDGET!$C$25="",0,MONATSBUDGET!$C$25)-SUM(F360:F379)-SUM(H360:H364))))</x:f>
      </x:c>
      <x:c r="I365" s="88" t="str">
        <x:f>IF(C365="","",MAX(0,ROUND(D365+E365-F365-G365-H365,2)))</x:f>
      </x:c>
      <x:c r="J365" s="88" t="str">
        <x:f>IF(C365="","",F365+G365+H365)</x:f>
      </x:c>
      <x:c r="K365" s="88" t="str">
        <x:f>IF(C365="","",MAX(0,SUMIFS(SONDERZAHLUNGEN!$E$9:$E$128,SONDERZAHLUNGEN!$B$9:$B$128,C365,SONDERZAHLUNGEN!$C$9:$C$128,A365,SONDERZAHLUNGEN!$H$9:$H$128,"OK",SONDERZAHLUNGEN!$F$9:$F$128,"Ja")-G365))</x:f>
      </x:c>
    </x:row>
    <x:row r="366" ht="19" customHeight="1">
      <x:c r="A366" s="90" t="n">
        <x:f>MONATSBUDGET!$A$25</x:f>
        <x:v>46753</x:v>
      </x:c>
      <x:c r="B366" t="n">
        <x:f>7</x:f>
        <x:v>7</x:v>
      </x:c>
      <x:c r="C366" t="str">
        <x:f>IF($N$15="","",$N$15)</x:f>
      </x:c>
      <x:c r="D366" s="88" t="str">
        <x:f>IF(C366="","",I346)</x:f>
      </x:c>
      <x:c r="E366" s="88" t="str">
        <x:f>IF(C366="","",ROUND(D366*$P$15/12,2))</x:f>
      </x:c>
      <x:c r="F366" s="88" t="str">
        <x:f>IF(C366="","",MIN(D366+E366,$Q$15))</x:f>
      </x:c>
      <x:c r="G366" s="88" t="str">
        <x:f>IF(C366="","",MIN(MAX(0,D366+E366-F366),SUMIFS(SONDERZAHLUNGEN!$E$9:$E$128,SONDERZAHLUNGEN!$B$9:$B$128,C366,SONDERZAHLUNGEN!$C$9:$C$128,A366,SONDERZAHLUNGEN!$H$9:$H$128,"OK",SONDERZAHLUNGEN!$F$9:$F$128,"Ja")))</x:f>
      </x:c>
      <x:c r="H366" s="88" t="str">
        <x:f>IF(C366="","",MIN(MAX(0,D366+E366-F366-G366),MAX(0,IF(MONATSBUDGET!$C$25="",0,MONATSBUDGET!$C$25)-SUM(F360:F379)-SUM(H360:H365))))</x:f>
      </x:c>
      <x:c r="I366" s="88" t="str">
        <x:f>IF(C366="","",MAX(0,ROUND(D366+E366-F366-G366-H366,2)))</x:f>
      </x:c>
      <x:c r="J366" s="88" t="str">
        <x:f>IF(C366="","",F366+G366+H366)</x:f>
      </x:c>
      <x:c r="K366" s="88" t="str">
        <x:f>IF(C366="","",MAX(0,SUMIFS(SONDERZAHLUNGEN!$E$9:$E$128,SONDERZAHLUNGEN!$B$9:$B$128,C366,SONDERZAHLUNGEN!$C$9:$C$128,A366,SONDERZAHLUNGEN!$H$9:$H$128,"OK",SONDERZAHLUNGEN!$F$9:$F$128,"Ja")-G366))</x:f>
      </x:c>
    </x:row>
    <x:row r="367" ht="19" customHeight="1">
      <x:c r="A367" s="90" t="n">
        <x:f>MONATSBUDGET!$A$25</x:f>
        <x:v>46753</x:v>
      </x:c>
      <x:c r="B367" t="n">
        <x:f>8</x:f>
        <x:v>8</x:v>
      </x:c>
      <x:c r="C367" t="str">
        <x:f>IF($N$16="","",$N$16)</x:f>
      </x:c>
      <x:c r="D367" s="88" t="str">
        <x:f>IF(C367="","",I347)</x:f>
      </x:c>
      <x:c r="E367" s="88" t="str">
        <x:f>IF(C367="","",ROUND(D367*$P$16/12,2))</x:f>
      </x:c>
      <x:c r="F367" s="88" t="str">
        <x:f>IF(C367="","",MIN(D367+E367,$Q$16))</x:f>
      </x:c>
      <x:c r="G367" s="88" t="str">
        <x:f>IF(C367="","",MIN(MAX(0,D367+E367-F367),SUMIFS(SONDERZAHLUNGEN!$E$9:$E$128,SONDERZAHLUNGEN!$B$9:$B$128,C367,SONDERZAHLUNGEN!$C$9:$C$128,A367,SONDERZAHLUNGEN!$H$9:$H$128,"OK",SONDERZAHLUNGEN!$F$9:$F$128,"Ja")))</x:f>
      </x:c>
      <x:c r="H367" s="88" t="str">
        <x:f>IF(C367="","",MIN(MAX(0,D367+E367-F367-G367),MAX(0,IF(MONATSBUDGET!$C$25="",0,MONATSBUDGET!$C$25)-SUM(F360:F379)-SUM(H360:H366))))</x:f>
      </x:c>
      <x:c r="I367" s="88" t="str">
        <x:f>IF(C367="","",MAX(0,ROUND(D367+E367-F367-G367-H367,2)))</x:f>
      </x:c>
      <x:c r="J367" s="88" t="str">
        <x:f>IF(C367="","",F367+G367+H367)</x:f>
      </x:c>
      <x:c r="K367" s="88" t="str">
        <x:f>IF(C367="","",MAX(0,SUMIFS(SONDERZAHLUNGEN!$E$9:$E$128,SONDERZAHLUNGEN!$B$9:$B$128,C367,SONDERZAHLUNGEN!$C$9:$C$128,A367,SONDERZAHLUNGEN!$H$9:$H$128,"OK",SONDERZAHLUNGEN!$F$9:$F$128,"Ja")-G367))</x:f>
      </x:c>
    </x:row>
    <x:row r="368" ht="19" customHeight="1">
      <x:c r="A368" s="90" t="n">
        <x:f>MONATSBUDGET!$A$25</x:f>
        <x:v>46753</x:v>
      </x:c>
      <x:c r="B368" t="n">
        <x:f>9</x:f>
        <x:v>9</x:v>
      </x:c>
      <x:c r="C368" t="str">
        <x:f>IF($N$17="","",$N$17)</x:f>
      </x:c>
      <x:c r="D368" s="88" t="str">
        <x:f>IF(C368="","",I348)</x:f>
      </x:c>
      <x:c r="E368" s="88" t="str">
        <x:f>IF(C368="","",ROUND(D368*$P$17/12,2))</x:f>
      </x:c>
      <x:c r="F368" s="88" t="str">
        <x:f>IF(C368="","",MIN(D368+E368,$Q$17))</x:f>
      </x:c>
      <x:c r="G368" s="88" t="str">
        <x:f>IF(C368="","",MIN(MAX(0,D368+E368-F368),SUMIFS(SONDERZAHLUNGEN!$E$9:$E$128,SONDERZAHLUNGEN!$B$9:$B$128,C368,SONDERZAHLUNGEN!$C$9:$C$128,A368,SONDERZAHLUNGEN!$H$9:$H$128,"OK",SONDERZAHLUNGEN!$F$9:$F$128,"Ja")))</x:f>
      </x:c>
      <x:c r="H368" s="88" t="str">
        <x:f>IF(C368="","",MIN(MAX(0,D368+E368-F368-G368),MAX(0,IF(MONATSBUDGET!$C$25="",0,MONATSBUDGET!$C$25)-SUM(F360:F379)-SUM(H360:H367))))</x:f>
      </x:c>
      <x:c r="I368" s="88" t="str">
        <x:f>IF(C368="","",MAX(0,ROUND(D368+E368-F368-G368-H368,2)))</x:f>
      </x:c>
      <x:c r="J368" s="88" t="str">
        <x:f>IF(C368="","",F368+G368+H368)</x:f>
      </x:c>
      <x:c r="K368" s="88" t="str">
        <x:f>IF(C368="","",MAX(0,SUMIFS(SONDERZAHLUNGEN!$E$9:$E$128,SONDERZAHLUNGEN!$B$9:$B$128,C368,SONDERZAHLUNGEN!$C$9:$C$128,A368,SONDERZAHLUNGEN!$H$9:$H$128,"OK",SONDERZAHLUNGEN!$F$9:$F$128,"Ja")-G368))</x:f>
      </x:c>
    </x:row>
    <x:row r="369" ht="19" customHeight="1">
      <x:c r="A369" s="90" t="n">
        <x:f>MONATSBUDGET!$A$25</x:f>
        <x:v>46753</x:v>
      </x:c>
      <x:c r="B369" t="n">
        <x:f>10</x:f>
        <x:v>10</x:v>
      </x:c>
      <x:c r="C369" t="str">
        <x:f>IF($N$18="","",$N$18)</x:f>
      </x:c>
      <x:c r="D369" s="88" t="str">
        <x:f>IF(C369="","",I349)</x:f>
      </x:c>
      <x:c r="E369" s="88" t="str">
        <x:f>IF(C369="","",ROUND(D369*$P$18/12,2))</x:f>
      </x:c>
      <x:c r="F369" s="88" t="str">
        <x:f>IF(C369="","",MIN(D369+E369,$Q$18))</x:f>
      </x:c>
      <x:c r="G369" s="88" t="str">
        <x:f>IF(C369="","",MIN(MAX(0,D369+E369-F369),SUMIFS(SONDERZAHLUNGEN!$E$9:$E$128,SONDERZAHLUNGEN!$B$9:$B$128,C369,SONDERZAHLUNGEN!$C$9:$C$128,A369,SONDERZAHLUNGEN!$H$9:$H$128,"OK",SONDERZAHLUNGEN!$F$9:$F$128,"Ja")))</x:f>
      </x:c>
      <x:c r="H369" s="88" t="str">
        <x:f>IF(C369="","",MIN(MAX(0,D369+E369-F369-G369),MAX(0,IF(MONATSBUDGET!$C$25="",0,MONATSBUDGET!$C$25)-SUM(F360:F379)-SUM(H360:H368))))</x:f>
      </x:c>
      <x:c r="I369" s="88" t="str">
        <x:f>IF(C369="","",MAX(0,ROUND(D369+E369-F369-G369-H369,2)))</x:f>
      </x:c>
      <x:c r="J369" s="88" t="str">
        <x:f>IF(C369="","",F369+G369+H369)</x:f>
      </x:c>
      <x:c r="K369" s="88" t="str">
        <x:f>IF(C369="","",MAX(0,SUMIFS(SONDERZAHLUNGEN!$E$9:$E$128,SONDERZAHLUNGEN!$B$9:$B$128,C369,SONDERZAHLUNGEN!$C$9:$C$128,A369,SONDERZAHLUNGEN!$H$9:$H$128,"OK",SONDERZAHLUNGEN!$F$9:$F$128,"Ja")-G369))</x:f>
      </x:c>
    </x:row>
    <x:row r="370" ht="19" customHeight="1">
      <x:c r="A370" s="90" t="n">
        <x:f>MONATSBUDGET!$A$25</x:f>
        <x:v>46753</x:v>
      </x:c>
      <x:c r="B370" t="n">
        <x:f>11</x:f>
        <x:v>11</x:v>
      </x:c>
      <x:c r="C370" t="str">
        <x:f>IF($N$19="","",$N$19)</x:f>
      </x:c>
      <x:c r="D370" s="88" t="str">
        <x:f>IF(C370="","",I350)</x:f>
      </x:c>
      <x:c r="E370" s="88" t="str">
        <x:f>IF(C370="","",ROUND(D370*$P$19/12,2))</x:f>
      </x:c>
      <x:c r="F370" s="88" t="str">
        <x:f>IF(C370="","",MIN(D370+E370,$Q$19))</x:f>
      </x:c>
      <x:c r="G370" s="88" t="str">
        <x:f>IF(C370="","",MIN(MAX(0,D370+E370-F370),SUMIFS(SONDERZAHLUNGEN!$E$9:$E$128,SONDERZAHLUNGEN!$B$9:$B$128,C370,SONDERZAHLUNGEN!$C$9:$C$128,A370,SONDERZAHLUNGEN!$H$9:$H$128,"OK",SONDERZAHLUNGEN!$F$9:$F$128,"Ja")))</x:f>
      </x:c>
      <x:c r="H370" s="88" t="str">
        <x:f>IF(C370="","",MIN(MAX(0,D370+E370-F370-G370),MAX(0,IF(MONATSBUDGET!$C$25="",0,MONATSBUDGET!$C$25)-SUM(F360:F379)-SUM(H360:H369))))</x:f>
      </x:c>
      <x:c r="I370" s="88" t="str">
        <x:f>IF(C370="","",MAX(0,ROUND(D370+E370-F370-G370-H370,2)))</x:f>
      </x:c>
      <x:c r="J370" s="88" t="str">
        <x:f>IF(C370="","",F370+G370+H370)</x:f>
      </x:c>
      <x:c r="K370" s="88" t="str">
        <x:f>IF(C370="","",MAX(0,SUMIFS(SONDERZAHLUNGEN!$E$9:$E$128,SONDERZAHLUNGEN!$B$9:$B$128,C370,SONDERZAHLUNGEN!$C$9:$C$128,A370,SONDERZAHLUNGEN!$H$9:$H$128,"OK",SONDERZAHLUNGEN!$F$9:$F$128,"Ja")-G370))</x:f>
      </x:c>
    </x:row>
    <x:row r="371" ht="19" customHeight="1">
      <x:c r="A371" s="90" t="n">
        <x:f>MONATSBUDGET!$A$25</x:f>
        <x:v>46753</x:v>
      </x:c>
      <x:c r="B371" t="n">
        <x:f>12</x:f>
        <x:v>12</x:v>
      </x:c>
      <x:c r="C371" t="str">
        <x:f>IF($N$20="","",$N$20)</x:f>
      </x:c>
      <x:c r="D371" s="88" t="str">
        <x:f>IF(C371="","",I351)</x:f>
      </x:c>
      <x:c r="E371" s="88" t="str">
        <x:f>IF(C371="","",ROUND(D371*$P$20/12,2))</x:f>
      </x:c>
      <x:c r="F371" s="88" t="str">
        <x:f>IF(C371="","",MIN(D371+E371,$Q$20))</x:f>
      </x:c>
      <x:c r="G371" s="88" t="str">
        <x:f>IF(C371="","",MIN(MAX(0,D371+E371-F371),SUMIFS(SONDERZAHLUNGEN!$E$9:$E$128,SONDERZAHLUNGEN!$B$9:$B$128,C371,SONDERZAHLUNGEN!$C$9:$C$128,A371,SONDERZAHLUNGEN!$H$9:$H$128,"OK",SONDERZAHLUNGEN!$F$9:$F$128,"Ja")))</x:f>
      </x:c>
      <x:c r="H371" s="88" t="str">
        <x:f>IF(C371="","",MIN(MAX(0,D371+E371-F371-G371),MAX(0,IF(MONATSBUDGET!$C$25="",0,MONATSBUDGET!$C$25)-SUM(F360:F379)-SUM(H360:H370))))</x:f>
      </x:c>
      <x:c r="I371" s="88" t="str">
        <x:f>IF(C371="","",MAX(0,ROUND(D371+E371-F371-G371-H371,2)))</x:f>
      </x:c>
      <x:c r="J371" s="88" t="str">
        <x:f>IF(C371="","",F371+G371+H371)</x:f>
      </x:c>
      <x:c r="K371" s="88" t="str">
        <x:f>IF(C371="","",MAX(0,SUMIFS(SONDERZAHLUNGEN!$E$9:$E$128,SONDERZAHLUNGEN!$B$9:$B$128,C371,SONDERZAHLUNGEN!$C$9:$C$128,A371,SONDERZAHLUNGEN!$H$9:$H$128,"OK",SONDERZAHLUNGEN!$F$9:$F$128,"Ja")-G371))</x:f>
      </x:c>
    </x:row>
    <x:row r="372" ht="19" customHeight="1">
      <x:c r="A372" s="90" t="n">
        <x:f>MONATSBUDGET!$A$25</x:f>
        <x:v>46753</x:v>
      </x:c>
      <x:c r="B372" t="n">
        <x:f>13</x:f>
        <x:v>13</x:v>
      </x:c>
      <x:c r="C372" t="str">
        <x:f>IF($N$21="","",$N$21)</x:f>
      </x:c>
      <x:c r="D372" s="88" t="str">
        <x:f>IF(C372="","",I352)</x:f>
      </x:c>
      <x:c r="E372" s="88" t="str">
        <x:f>IF(C372="","",ROUND(D372*$P$21/12,2))</x:f>
      </x:c>
      <x:c r="F372" s="88" t="str">
        <x:f>IF(C372="","",MIN(D372+E372,$Q$21))</x:f>
      </x:c>
      <x:c r="G372" s="88" t="str">
        <x:f>IF(C372="","",MIN(MAX(0,D372+E372-F372),SUMIFS(SONDERZAHLUNGEN!$E$9:$E$128,SONDERZAHLUNGEN!$B$9:$B$128,C372,SONDERZAHLUNGEN!$C$9:$C$128,A372,SONDERZAHLUNGEN!$H$9:$H$128,"OK",SONDERZAHLUNGEN!$F$9:$F$128,"Ja")))</x:f>
      </x:c>
      <x:c r="H372" s="88" t="str">
        <x:f>IF(C372="","",MIN(MAX(0,D372+E372-F372-G372),MAX(0,IF(MONATSBUDGET!$C$25="",0,MONATSBUDGET!$C$25)-SUM(F360:F379)-SUM(H360:H371))))</x:f>
      </x:c>
      <x:c r="I372" s="88" t="str">
        <x:f>IF(C372="","",MAX(0,ROUND(D372+E372-F372-G372-H372,2)))</x:f>
      </x:c>
      <x:c r="J372" s="88" t="str">
        <x:f>IF(C372="","",F372+G372+H372)</x:f>
      </x:c>
      <x:c r="K372" s="88" t="str">
        <x:f>IF(C372="","",MAX(0,SUMIFS(SONDERZAHLUNGEN!$E$9:$E$128,SONDERZAHLUNGEN!$B$9:$B$128,C372,SONDERZAHLUNGEN!$C$9:$C$128,A372,SONDERZAHLUNGEN!$H$9:$H$128,"OK",SONDERZAHLUNGEN!$F$9:$F$128,"Ja")-G372))</x:f>
      </x:c>
    </x:row>
    <x:row r="373" ht="19" customHeight="1">
      <x:c r="A373" s="90" t="n">
        <x:f>MONATSBUDGET!$A$25</x:f>
        <x:v>46753</x:v>
      </x:c>
      <x:c r="B373" t="n">
        <x:f>14</x:f>
        <x:v>14</x:v>
      </x:c>
      <x:c r="C373" t="str">
        <x:f>IF($N$22="","",$N$22)</x:f>
      </x:c>
      <x:c r="D373" s="88" t="str">
        <x:f>IF(C373="","",I353)</x:f>
      </x:c>
      <x:c r="E373" s="88" t="str">
        <x:f>IF(C373="","",ROUND(D373*$P$22/12,2))</x:f>
      </x:c>
      <x:c r="F373" s="88" t="str">
        <x:f>IF(C373="","",MIN(D373+E373,$Q$22))</x:f>
      </x:c>
      <x:c r="G373" s="88" t="str">
        <x:f>IF(C373="","",MIN(MAX(0,D373+E373-F373),SUMIFS(SONDERZAHLUNGEN!$E$9:$E$128,SONDERZAHLUNGEN!$B$9:$B$128,C373,SONDERZAHLUNGEN!$C$9:$C$128,A373,SONDERZAHLUNGEN!$H$9:$H$128,"OK",SONDERZAHLUNGEN!$F$9:$F$128,"Ja")))</x:f>
      </x:c>
      <x:c r="H373" s="88" t="str">
        <x:f>IF(C373="","",MIN(MAX(0,D373+E373-F373-G373),MAX(0,IF(MONATSBUDGET!$C$25="",0,MONATSBUDGET!$C$25)-SUM(F360:F379)-SUM(H360:H372))))</x:f>
      </x:c>
      <x:c r="I373" s="88" t="str">
        <x:f>IF(C373="","",MAX(0,ROUND(D373+E373-F373-G373-H373,2)))</x:f>
      </x:c>
      <x:c r="J373" s="88" t="str">
        <x:f>IF(C373="","",F373+G373+H373)</x:f>
      </x:c>
      <x:c r="K373" s="88" t="str">
        <x:f>IF(C373="","",MAX(0,SUMIFS(SONDERZAHLUNGEN!$E$9:$E$128,SONDERZAHLUNGEN!$B$9:$B$128,C373,SONDERZAHLUNGEN!$C$9:$C$128,A373,SONDERZAHLUNGEN!$H$9:$H$128,"OK",SONDERZAHLUNGEN!$F$9:$F$128,"Ja")-G373))</x:f>
      </x:c>
    </x:row>
    <x:row r="374" ht="19" customHeight="1">
      <x:c r="A374" s="90" t="n">
        <x:f>MONATSBUDGET!$A$25</x:f>
        <x:v>46753</x:v>
      </x:c>
      <x:c r="B374" t="n">
        <x:f>15</x:f>
        <x:v>15</x:v>
      </x:c>
      <x:c r="C374" t="str">
        <x:f>IF($N$23="","",$N$23)</x:f>
      </x:c>
      <x:c r="D374" s="88" t="str">
        <x:f>IF(C374="","",I354)</x:f>
      </x:c>
      <x:c r="E374" s="88" t="str">
        <x:f>IF(C374="","",ROUND(D374*$P$23/12,2))</x:f>
      </x:c>
      <x:c r="F374" s="88" t="str">
        <x:f>IF(C374="","",MIN(D374+E374,$Q$23))</x:f>
      </x:c>
      <x:c r="G374" s="88" t="str">
        <x:f>IF(C374="","",MIN(MAX(0,D374+E374-F374),SUMIFS(SONDERZAHLUNGEN!$E$9:$E$128,SONDERZAHLUNGEN!$B$9:$B$128,C374,SONDERZAHLUNGEN!$C$9:$C$128,A374,SONDERZAHLUNGEN!$H$9:$H$128,"OK",SONDERZAHLUNGEN!$F$9:$F$128,"Ja")))</x:f>
      </x:c>
      <x:c r="H374" s="88" t="str">
        <x:f>IF(C374="","",MIN(MAX(0,D374+E374-F374-G374),MAX(0,IF(MONATSBUDGET!$C$25="",0,MONATSBUDGET!$C$25)-SUM(F360:F379)-SUM(H360:H373))))</x:f>
      </x:c>
      <x:c r="I374" s="88" t="str">
        <x:f>IF(C374="","",MAX(0,ROUND(D374+E374-F374-G374-H374,2)))</x:f>
      </x:c>
      <x:c r="J374" s="88" t="str">
        <x:f>IF(C374="","",F374+G374+H374)</x:f>
      </x:c>
      <x:c r="K374" s="88" t="str">
        <x:f>IF(C374="","",MAX(0,SUMIFS(SONDERZAHLUNGEN!$E$9:$E$128,SONDERZAHLUNGEN!$B$9:$B$128,C374,SONDERZAHLUNGEN!$C$9:$C$128,A374,SONDERZAHLUNGEN!$H$9:$H$128,"OK",SONDERZAHLUNGEN!$F$9:$F$128,"Ja")-G374))</x:f>
      </x:c>
    </x:row>
    <x:row r="375" ht="19" customHeight="1">
      <x:c r="A375" s="90" t="n">
        <x:f>MONATSBUDGET!$A$25</x:f>
        <x:v>46753</x:v>
      </x:c>
      <x:c r="B375" t="n">
        <x:f>16</x:f>
        <x:v>16</x:v>
      </x:c>
      <x:c r="C375" t="str">
        <x:f>IF($N$24="","",$N$24)</x:f>
      </x:c>
      <x:c r="D375" s="88" t="str">
        <x:f>IF(C375="","",I355)</x:f>
      </x:c>
      <x:c r="E375" s="88" t="str">
        <x:f>IF(C375="","",ROUND(D375*$P$24/12,2))</x:f>
      </x:c>
      <x:c r="F375" s="88" t="str">
        <x:f>IF(C375="","",MIN(D375+E375,$Q$24))</x:f>
      </x:c>
      <x:c r="G375" s="88" t="str">
        <x:f>IF(C375="","",MIN(MAX(0,D375+E375-F375),SUMIFS(SONDERZAHLUNGEN!$E$9:$E$128,SONDERZAHLUNGEN!$B$9:$B$128,C375,SONDERZAHLUNGEN!$C$9:$C$128,A375,SONDERZAHLUNGEN!$H$9:$H$128,"OK",SONDERZAHLUNGEN!$F$9:$F$128,"Ja")))</x:f>
      </x:c>
      <x:c r="H375" s="88" t="str">
        <x:f>IF(C375="","",MIN(MAX(0,D375+E375-F375-G375),MAX(0,IF(MONATSBUDGET!$C$25="",0,MONATSBUDGET!$C$25)-SUM(F360:F379)-SUM(H360:H374))))</x:f>
      </x:c>
      <x:c r="I375" s="88" t="str">
        <x:f>IF(C375="","",MAX(0,ROUND(D375+E375-F375-G375-H375,2)))</x:f>
      </x:c>
      <x:c r="J375" s="88" t="str">
        <x:f>IF(C375="","",F375+G375+H375)</x:f>
      </x:c>
      <x:c r="K375" s="88" t="str">
        <x:f>IF(C375="","",MAX(0,SUMIFS(SONDERZAHLUNGEN!$E$9:$E$128,SONDERZAHLUNGEN!$B$9:$B$128,C375,SONDERZAHLUNGEN!$C$9:$C$128,A375,SONDERZAHLUNGEN!$H$9:$H$128,"OK",SONDERZAHLUNGEN!$F$9:$F$128,"Ja")-G375))</x:f>
      </x:c>
    </x:row>
    <x:row r="376" ht="19" customHeight="1">
      <x:c r="A376" s="90" t="n">
        <x:f>MONATSBUDGET!$A$25</x:f>
        <x:v>46753</x:v>
      </x:c>
      <x:c r="B376" t="n">
        <x:f>17</x:f>
        <x:v>17</x:v>
      </x:c>
      <x:c r="C376" t="str">
        <x:f>IF($N$25="","",$N$25)</x:f>
      </x:c>
      <x:c r="D376" s="88" t="str">
        <x:f>IF(C376="","",I356)</x:f>
      </x:c>
      <x:c r="E376" s="88" t="str">
        <x:f>IF(C376="","",ROUND(D376*$P$25/12,2))</x:f>
      </x:c>
      <x:c r="F376" s="88" t="str">
        <x:f>IF(C376="","",MIN(D376+E376,$Q$25))</x:f>
      </x:c>
      <x:c r="G376" s="88" t="str">
        <x:f>IF(C376="","",MIN(MAX(0,D376+E376-F376),SUMIFS(SONDERZAHLUNGEN!$E$9:$E$128,SONDERZAHLUNGEN!$B$9:$B$128,C376,SONDERZAHLUNGEN!$C$9:$C$128,A376,SONDERZAHLUNGEN!$H$9:$H$128,"OK",SONDERZAHLUNGEN!$F$9:$F$128,"Ja")))</x:f>
      </x:c>
      <x:c r="H376" s="88" t="str">
        <x:f>IF(C376="","",MIN(MAX(0,D376+E376-F376-G376),MAX(0,IF(MONATSBUDGET!$C$25="",0,MONATSBUDGET!$C$25)-SUM(F360:F379)-SUM(H360:H375))))</x:f>
      </x:c>
      <x:c r="I376" s="88" t="str">
        <x:f>IF(C376="","",MAX(0,ROUND(D376+E376-F376-G376-H376,2)))</x:f>
      </x:c>
      <x:c r="J376" s="88" t="str">
        <x:f>IF(C376="","",F376+G376+H376)</x:f>
      </x:c>
      <x:c r="K376" s="88" t="str">
        <x:f>IF(C376="","",MAX(0,SUMIFS(SONDERZAHLUNGEN!$E$9:$E$128,SONDERZAHLUNGEN!$B$9:$B$128,C376,SONDERZAHLUNGEN!$C$9:$C$128,A376,SONDERZAHLUNGEN!$H$9:$H$128,"OK",SONDERZAHLUNGEN!$F$9:$F$128,"Ja")-G376))</x:f>
      </x:c>
    </x:row>
    <x:row r="377" ht="19" customHeight="1">
      <x:c r="A377" s="90" t="n">
        <x:f>MONATSBUDGET!$A$25</x:f>
        <x:v>46753</x:v>
      </x:c>
      <x:c r="B377" t="n">
        <x:f>18</x:f>
        <x:v>18</x:v>
      </x:c>
      <x:c r="C377" t="str">
        <x:f>IF($N$26="","",$N$26)</x:f>
      </x:c>
      <x:c r="D377" s="88" t="str">
        <x:f>IF(C377="","",I357)</x:f>
      </x:c>
      <x:c r="E377" s="88" t="str">
        <x:f>IF(C377="","",ROUND(D377*$P$26/12,2))</x:f>
      </x:c>
      <x:c r="F377" s="88" t="str">
        <x:f>IF(C377="","",MIN(D377+E377,$Q$26))</x:f>
      </x:c>
      <x:c r="G377" s="88" t="str">
        <x:f>IF(C377="","",MIN(MAX(0,D377+E377-F377),SUMIFS(SONDERZAHLUNGEN!$E$9:$E$128,SONDERZAHLUNGEN!$B$9:$B$128,C377,SONDERZAHLUNGEN!$C$9:$C$128,A377,SONDERZAHLUNGEN!$H$9:$H$128,"OK",SONDERZAHLUNGEN!$F$9:$F$128,"Ja")))</x:f>
      </x:c>
      <x:c r="H377" s="88" t="str">
        <x:f>IF(C377="","",MIN(MAX(0,D377+E377-F377-G377),MAX(0,IF(MONATSBUDGET!$C$25="",0,MONATSBUDGET!$C$25)-SUM(F360:F379)-SUM(H360:H376))))</x:f>
      </x:c>
      <x:c r="I377" s="88" t="str">
        <x:f>IF(C377="","",MAX(0,ROUND(D377+E377-F377-G377-H377,2)))</x:f>
      </x:c>
      <x:c r="J377" s="88" t="str">
        <x:f>IF(C377="","",F377+G377+H377)</x:f>
      </x:c>
      <x:c r="K377" s="88" t="str">
        <x:f>IF(C377="","",MAX(0,SUMIFS(SONDERZAHLUNGEN!$E$9:$E$128,SONDERZAHLUNGEN!$B$9:$B$128,C377,SONDERZAHLUNGEN!$C$9:$C$128,A377,SONDERZAHLUNGEN!$H$9:$H$128,"OK",SONDERZAHLUNGEN!$F$9:$F$128,"Ja")-G377))</x:f>
      </x:c>
    </x:row>
    <x:row r="378" ht="19" customHeight="1">
      <x:c r="A378" s="90" t="n">
        <x:f>MONATSBUDGET!$A$25</x:f>
        <x:v>46753</x:v>
      </x:c>
      <x:c r="B378" t="n">
        <x:f>19</x:f>
        <x:v>19</x:v>
      </x:c>
      <x:c r="C378" t="str">
        <x:f>IF($N$27="","",$N$27)</x:f>
      </x:c>
      <x:c r="D378" s="88" t="str">
        <x:f>IF(C378="","",I358)</x:f>
      </x:c>
      <x:c r="E378" s="88" t="str">
        <x:f>IF(C378="","",ROUND(D378*$P$27/12,2))</x:f>
      </x:c>
      <x:c r="F378" s="88" t="str">
        <x:f>IF(C378="","",MIN(D378+E378,$Q$27))</x:f>
      </x:c>
      <x:c r="G378" s="88" t="str">
        <x:f>IF(C378="","",MIN(MAX(0,D378+E378-F378),SUMIFS(SONDERZAHLUNGEN!$E$9:$E$128,SONDERZAHLUNGEN!$B$9:$B$128,C378,SONDERZAHLUNGEN!$C$9:$C$128,A378,SONDERZAHLUNGEN!$H$9:$H$128,"OK",SONDERZAHLUNGEN!$F$9:$F$128,"Ja")))</x:f>
      </x:c>
      <x:c r="H378" s="88" t="str">
        <x:f>IF(C378="","",MIN(MAX(0,D378+E378-F378-G378),MAX(0,IF(MONATSBUDGET!$C$25="",0,MONATSBUDGET!$C$25)-SUM(F360:F379)-SUM(H360:H377))))</x:f>
      </x:c>
      <x:c r="I378" s="88" t="str">
        <x:f>IF(C378="","",MAX(0,ROUND(D378+E378-F378-G378-H378,2)))</x:f>
      </x:c>
      <x:c r="J378" s="88" t="str">
        <x:f>IF(C378="","",F378+G378+H378)</x:f>
      </x:c>
      <x:c r="K378" s="88" t="str">
        <x:f>IF(C378="","",MAX(0,SUMIFS(SONDERZAHLUNGEN!$E$9:$E$128,SONDERZAHLUNGEN!$B$9:$B$128,C378,SONDERZAHLUNGEN!$C$9:$C$128,A378,SONDERZAHLUNGEN!$H$9:$H$128,"OK",SONDERZAHLUNGEN!$F$9:$F$128,"Ja")-G378))</x:f>
      </x:c>
    </x:row>
    <x:row r="379" ht="19" customHeight="1">
      <x:c r="A379" s="90" t="n">
        <x:f>MONATSBUDGET!$A$25</x:f>
        <x:v>46753</x:v>
      </x:c>
      <x:c r="B379" t="n">
        <x:f>20</x:f>
        <x:v>20</x:v>
      </x:c>
      <x:c r="C379" t="str">
        <x:f>IF($N$28="","",$N$28)</x:f>
      </x:c>
      <x:c r="D379" s="88" t="str">
        <x:f>IF(C379="","",I359)</x:f>
      </x:c>
      <x:c r="E379" s="88" t="str">
        <x:f>IF(C379="","",ROUND(D379*$P$28/12,2))</x:f>
      </x:c>
      <x:c r="F379" s="88" t="str">
        <x:f>IF(C379="","",MIN(D379+E379,$Q$28))</x:f>
      </x:c>
      <x:c r="G379" s="88" t="str">
        <x:f>IF(C379="","",MIN(MAX(0,D379+E379-F379),SUMIFS(SONDERZAHLUNGEN!$E$9:$E$128,SONDERZAHLUNGEN!$B$9:$B$128,C379,SONDERZAHLUNGEN!$C$9:$C$128,A379,SONDERZAHLUNGEN!$H$9:$H$128,"OK",SONDERZAHLUNGEN!$F$9:$F$128,"Ja")))</x:f>
      </x:c>
      <x:c r="H379" s="88" t="str">
        <x:f>IF(C379="","",MIN(MAX(0,D379+E379-F379-G379),MAX(0,IF(MONATSBUDGET!$C$25="",0,MONATSBUDGET!$C$25)-SUM(F360:F379)-SUM(H360:H378))))</x:f>
      </x:c>
      <x:c r="I379" s="88" t="str">
        <x:f>IF(C379="","",MAX(0,ROUND(D379+E379-F379-G379-H379,2)))</x:f>
      </x:c>
      <x:c r="J379" s="88" t="str">
        <x:f>IF(C379="","",F379+G379+H379)</x:f>
      </x:c>
      <x:c r="K379" s="88" t="str">
        <x:f>IF(C379="","",MAX(0,SUMIFS(SONDERZAHLUNGEN!$E$9:$E$128,SONDERZAHLUNGEN!$B$9:$B$128,C379,SONDERZAHLUNGEN!$C$9:$C$128,A379,SONDERZAHLUNGEN!$H$9:$H$128,"OK",SONDERZAHLUNGEN!$F$9:$F$128,"Ja")-G379))</x:f>
      </x:c>
    </x:row>
    <x:row r="380" ht="19" customHeight="1">
      <x:c r="A380" s="90" t="n">
        <x:f>MONATSBUDGET!$A$26</x:f>
        <x:v>46784</x:v>
      </x:c>
      <x:c r="B380" t="n">
        <x:f>1</x:f>
        <x:v>1</x:v>
      </x:c>
      <x:c r="C380" t="str">
        <x:f>IF($N$9="","",$N$9)</x:f>
      </x:c>
      <x:c r="D380" s="88" t="str">
        <x:f>IF(C380="","",I360)</x:f>
      </x:c>
      <x:c r="E380" s="88" t="str">
        <x:f>IF(C380="","",ROUND(D380*$P$9/12,2))</x:f>
      </x:c>
      <x:c r="F380" s="88" t="str">
        <x:f>IF(C380="","",MIN(D380+E380,$Q$9))</x:f>
      </x:c>
      <x:c r="G380" s="88" t="str">
        <x:f>IF(C380="","",MIN(MAX(0,D380+E380-F380),SUMIFS(SONDERZAHLUNGEN!$E$9:$E$128,SONDERZAHLUNGEN!$B$9:$B$128,C380,SONDERZAHLUNGEN!$C$9:$C$128,A380,SONDERZAHLUNGEN!$H$9:$H$128,"OK",SONDERZAHLUNGEN!$F$9:$F$128,"Ja")))</x:f>
      </x:c>
      <x:c r="H380" s="88" t="str">
        <x:f>IF(C380="","",MIN(MAX(0,D380+E380-F380-G380),MAX(0,IF(MONATSBUDGET!$C$26="",0,MONATSBUDGET!$C$26)-SUM(F380:F399)-0)))</x:f>
      </x:c>
      <x:c r="I380" s="88" t="str">
        <x:f>IF(C380="","",MAX(0,ROUND(D380+E380-F380-G380-H380,2)))</x:f>
      </x:c>
      <x:c r="J380" s="88" t="str">
        <x:f>IF(C380="","",F380+G380+H380)</x:f>
      </x:c>
      <x:c r="K380" s="88" t="str">
        <x:f>IF(C380="","",MAX(0,SUMIFS(SONDERZAHLUNGEN!$E$9:$E$128,SONDERZAHLUNGEN!$B$9:$B$128,C380,SONDERZAHLUNGEN!$C$9:$C$128,A380,SONDERZAHLUNGEN!$H$9:$H$128,"OK",SONDERZAHLUNGEN!$F$9:$F$128,"Ja")-G380))</x:f>
      </x:c>
    </x:row>
    <x:row r="381" ht="19" customHeight="1">
      <x:c r="A381" s="90" t="n">
        <x:f>MONATSBUDGET!$A$26</x:f>
        <x:v>46784</x:v>
      </x:c>
      <x:c r="B381" t="n">
        <x:f>2</x:f>
        <x:v>2</x:v>
      </x:c>
      <x:c r="C381" t="str">
        <x:f>IF($N$10="","",$N$10)</x:f>
      </x:c>
      <x:c r="D381" s="88" t="str">
        <x:f>IF(C381="","",I361)</x:f>
      </x:c>
      <x:c r="E381" s="88" t="str">
        <x:f>IF(C381="","",ROUND(D381*$P$10/12,2))</x:f>
      </x:c>
      <x:c r="F381" s="88" t="str">
        <x:f>IF(C381="","",MIN(D381+E381,$Q$10))</x:f>
      </x:c>
      <x:c r="G381" s="88" t="str">
        <x:f>IF(C381="","",MIN(MAX(0,D381+E381-F381),SUMIFS(SONDERZAHLUNGEN!$E$9:$E$128,SONDERZAHLUNGEN!$B$9:$B$128,C381,SONDERZAHLUNGEN!$C$9:$C$128,A381,SONDERZAHLUNGEN!$H$9:$H$128,"OK",SONDERZAHLUNGEN!$F$9:$F$128,"Ja")))</x:f>
      </x:c>
      <x:c r="H381" s="88" t="str">
        <x:f>IF(C381="","",MIN(MAX(0,D381+E381-F381-G381),MAX(0,IF(MONATSBUDGET!$C$26="",0,MONATSBUDGET!$C$26)-SUM(F380:F399)-SUM(H380:H380))))</x:f>
      </x:c>
      <x:c r="I381" s="88" t="str">
        <x:f>IF(C381="","",MAX(0,ROUND(D381+E381-F381-G381-H381,2)))</x:f>
      </x:c>
      <x:c r="J381" s="88" t="str">
        <x:f>IF(C381="","",F381+G381+H381)</x:f>
      </x:c>
      <x:c r="K381" s="88" t="str">
        <x:f>IF(C381="","",MAX(0,SUMIFS(SONDERZAHLUNGEN!$E$9:$E$128,SONDERZAHLUNGEN!$B$9:$B$128,C381,SONDERZAHLUNGEN!$C$9:$C$128,A381,SONDERZAHLUNGEN!$H$9:$H$128,"OK",SONDERZAHLUNGEN!$F$9:$F$128,"Ja")-G381))</x:f>
      </x:c>
    </x:row>
    <x:row r="382" ht="19" customHeight="1">
      <x:c r="A382" s="90" t="n">
        <x:f>MONATSBUDGET!$A$26</x:f>
        <x:v>46784</x:v>
      </x:c>
      <x:c r="B382" t="n">
        <x:f>3</x:f>
        <x:v>3</x:v>
      </x:c>
      <x:c r="C382" t="str">
        <x:f>IF($N$11="","",$N$11)</x:f>
      </x:c>
      <x:c r="D382" s="88" t="str">
        <x:f>IF(C382="","",I362)</x:f>
      </x:c>
      <x:c r="E382" s="88" t="str">
        <x:f>IF(C382="","",ROUND(D382*$P$11/12,2))</x:f>
      </x:c>
      <x:c r="F382" s="88" t="str">
        <x:f>IF(C382="","",MIN(D382+E382,$Q$11))</x:f>
      </x:c>
      <x:c r="G382" s="88" t="str">
        <x:f>IF(C382="","",MIN(MAX(0,D382+E382-F382),SUMIFS(SONDERZAHLUNGEN!$E$9:$E$128,SONDERZAHLUNGEN!$B$9:$B$128,C382,SONDERZAHLUNGEN!$C$9:$C$128,A382,SONDERZAHLUNGEN!$H$9:$H$128,"OK",SONDERZAHLUNGEN!$F$9:$F$128,"Ja")))</x:f>
      </x:c>
      <x:c r="H382" s="88" t="str">
        <x:f>IF(C382="","",MIN(MAX(0,D382+E382-F382-G382),MAX(0,IF(MONATSBUDGET!$C$26="",0,MONATSBUDGET!$C$26)-SUM(F380:F399)-SUM(H380:H381))))</x:f>
      </x:c>
      <x:c r="I382" s="88" t="str">
        <x:f>IF(C382="","",MAX(0,ROUND(D382+E382-F382-G382-H382,2)))</x:f>
      </x:c>
      <x:c r="J382" s="88" t="str">
        <x:f>IF(C382="","",F382+G382+H382)</x:f>
      </x:c>
      <x:c r="K382" s="88" t="str">
        <x:f>IF(C382="","",MAX(0,SUMIFS(SONDERZAHLUNGEN!$E$9:$E$128,SONDERZAHLUNGEN!$B$9:$B$128,C382,SONDERZAHLUNGEN!$C$9:$C$128,A382,SONDERZAHLUNGEN!$H$9:$H$128,"OK",SONDERZAHLUNGEN!$F$9:$F$128,"Ja")-G382))</x:f>
      </x:c>
    </x:row>
    <x:row r="383" ht="19" customHeight="1">
      <x:c r="A383" s="90" t="n">
        <x:f>MONATSBUDGET!$A$26</x:f>
        <x:v>46784</x:v>
      </x:c>
      <x:c r="B383" t="n">
        <x:f>4</x:f>
        <x:v>4</x:v>
      </x:c>
      <x:c r="C383" t="str">
        <x:f>IF($N$12="","",$N$12)</x:f>
      </x:c>
      <x:c r="D383" s="88" t="str">
        <x:f>IF(C383="","",I363)</x:f>
      </x:c>
      <x:c r="E383" s="88" t="str">
        <x:f>IF(C383="","",ROUND(D383*$P$12/12,2))</x:f>
      </x:c>
      <x:c r="F383" s="88" t="str">
        <x:f>IF(C383="","",MIN(D383+E383,$Q$12))</x:f>
      </x:c>
      <x:c r="G383" s="88" t="str">
        <x:f>IF(C383="","",MIN(MAX(0,D383+E383-F383),SUMIFS(SONDERZAHLUNGEN!$E$9:$E$128,SONDERZAHLUNGEN!$B$9:$B$128,C383,SONDERZAHLUNGEN!$C$9:$C$128,A383,SONDERZAHLUNGEN!$H$9:$H$128,"OK",SONDERZAHLUNGEN!$F$9:$F$128,"Ja")))</x:f>
      </x:c>
      <x:c r="H383" s="88" t="str">
        <x:f>IF(C383="","",MIN(MAX(0,D383+E383-F383-G383),MAX(0,IF(MONATSBUDGET!$C$26="",0,MONATSBUDGET!$C$26)-SUM(F380:F399)-SUM(H380:H382))))</x:f>
      </x:c>
      <x:c r="I383" s="88" t="str">
        <x:f>IF(C383="","",MAX(0,ROUND(D383+E383-F383-G383-H383,2)))</x:f>
      </x:c>
      <x:c r="J383" s="88" t="str">
        <x:f>IF(C383="","",F383+G383+H383)</x:f>
      </x:c>
      <x:c r="K383" s="88" t="str">
        <x:f>IF(C383="","",MAX(0,SUMIFS(SONDERZAHLUNGEN!$E$9:$E$128,SONDERZAHLUNGEN!$B$9:$B$128,C383,SONDERZAHLUNGEN!$C$9:$C$128,A383,SONDERZAHLUNGEN!$H$9:$H$128,"OK",SONDERZAHLUNGEN!$F$9:$F$128,"Ja")-G383))</x:f>
      </x:c>
    </x:row>
    <x:row r="384" ht="19" customHeight="1">
      <x:c r="A384" s="90" t="n">
        <x:f>MONATSBUDGET!$A$26</x:f>
        <x:v>46784</x:v>
      </x:c>
      <x:c r="B384" t="n">
        <x:f>5</x:f>
        <x:v>5</x:v>
      </x:c>
      <x:c r="C384" t="str">
        <x:f>IF($N$13="","",$N$13)</x:f>
      </x:c>
      <x:c r="D384" s="88" t="str">
        <x:f>IF(C384="","",I364)</x:f>
      </x:c>
      <x:c r="E384" s="88" t="str">
        <x:f>IF(C384="","",ROUND(D384*$P$13/12,2))</x:f>
      </x:c>
      <x:c r="F384" s="88" t="str">
        <x:f>IF(C384="","",MIN(D384+E384,$Q$13))</x:f>
      </x:c>
      <x:c r="G384" s="88" t="str">
        <x:f>IF(C384="","",MIN(MAX(0,D384+E384-F384),SUMIFS(SONDERZAHLUNGEN!$E$9:$E$128,SONDERZAHLUNGEN!$B$9:$B$128,C384,SONDERZAHLUNGEN!$C$9:$C$128,A384,SONDERZAHLUNGEN!$H$9:$H$128,"OK",SONDERZAHLUNGEN!$F$9:$F$128,"Ja")))</x:f>
      </x:c>
      <x:c r="H384" s="88" t="str">
        <x:f>IF(C384="","",MIN(MAX(0,D384+E384-F384-G384),MAX(0,IF(MONATSBUDGET!$C$26="",0,MONATSBUDGET!$C$26)-SUM(F380:F399)-SUM(H380:H383))))</x:f>
      </x:c>
      <x:c r="I384" s="88" t="str">
        <x:f>IF(C384="","",MAX(0,ROUND(D384+E384-F384-G384-H384,2)))</x:f>
      </x:c>
      <x:c r="J384" s="88" t="str">
        <x:f>IF(C384="","",F384+G384+H384)</x:f>
      </x:c>
      <x:c r="K384" s="88" t="str">
        <x:f>IF(C384="","",MAX(0,SUMIFS(SONDERZAHLUNGEN!$E$9:$E$128,SONDERZAHLUNGEN!$B$9:$B$128,C384,SONDERZAHLUNGEN!$C$9:$C$128,A384,SONDERZAHLUNGEN!$H$9:$H$128,"OK",SONDERZAHLUNGEN!$F$9:$F$128,"Ja")-G384))</x:f>
      </x:c>
    </x:row>
    <x:row r="385" ht="19" customHeight="1">
      <x:c r="A385" s="90" t="n">
        <x:f>MONATSBUDGET!$A$26</x:f>
        <x:v>46784</x:v>
      </x:c>
      <x:c r="B385" t="n">
        <x:f>6</x:f>
        <x:v>6</x:v>
      </x:c>
      <x:c r="C385" t="str">
        <x:f>IF($N$14="","",$N$14)</x:f>
      </x:c>
      <x:c r="D385" s="88" t="str">
        <x:f>IF(C385="","",I365)</x:f>
      </x:c>
      <x:c r="E385" s="88" t="str">
        <x:f>IF(C385="","",ROUND(D385*$P$14/12,2))</x:f>
      </x:c>
      <x:c r="F385" s="88" t="str">
        <x:f>IF(C385="","",MIN(D385+E385,$Q$14))</x:f>
      </x:c>
      <x:c r="G385" s="88" t="str">
        <x:f>IF(C385="","",MIN(MAX(0,D385+E385-F385),SUMIFS(SONDERZAHLUNGEN!$E$9:$E$128,SONDERZAHLUNGEN!$B$9:$B$128,C385,SONDERZAHLUNGEN!$C$9:$C$128,A385,SONDERZAHLUNGEN!$H$9:$H$128,"OK",SONDERZAHLUNGEN!$F$9:$F$128,"Ja")))</x:f>
      </x:c>
      <x:c r="H385" s="88" t="str">
        <x:f>IF(C385="","",MIN(MAX(0,D385+E385-F385-G385),MAX(0,IF(MONATSBUDGET!$C$26="",0,MONATSBUDGET!$C$26)-SUM(F380:F399)-SUM(H380:H384))))</x:f>
      </x:c>
      <x:c r="I385" s="88" t="str">
        <x:f>IF(C385="","",MAX(0,ROUND(D385+E385-F385-G385-H385,2)))</x:f>
      </x:c>
      <x:c r="J385" s="88" t="str">
        <x:f>IF(C385="","",F385+G385+H385)</x:f>
      </x:c>
      <x:c r="K385" s="88" t="str">
        <x:f>IF(C385="","",MAX(0,SUMIFS(SONDERZAHLUNGEN!$E$9:$E$128,SONDERZAHLUNGEN!$B$9:$B$128,C385,SONDERZAHLUNGEN!$C$9:$C$128,A385,SONDERZAHLUNGEN!$H$9:$H$128,"OK",SONDERZAHLUNGEN!$F$9:$F$128,"Ja")-G385))</x:f>
      </x:c>
    </x:row>
    <x:row r="386" ht="19" customHeight="1">
      <x:c r="A386" s="90" t="n">
        <x:f>MONATSBUDGET!$A$26</x:f>
        <x:v>46784</x:v>
      </x:c>
      <x:c r="B386" t="n">
        <x:f>7</x:f>
        <x:v>7</x:v>
      </x:c>
      <x:c r="C386" t="str">
        <x:f>IF($N$15="","",$N$15)</x:f>
      </x:c>
      <x:c r="D386" s="88" t="str">
        <x:f>IF(C386="","",I366)</x:f>
      </x:c>
      <x:c r="E386" s="88" t="str">
        <x:f>IF(C386="","",ROUND(D386*$P$15/12,2))</x:f>
      </x:c>
      <x:c r="F386" s="88" t="str">
        <x:f>IF(C386="","",MIN(D386+E386,$Q$15))</x:f>
      </x:c>
      <x:c r="G386" s="88" t="str">
        <x:f>IF(C386="","",MIN(MAX(0,D386+E386-F386),SUMIFS(SONDERZAHLUNGEN!$E$9:$E$128,SONDERZAHLUNGEN!$B$9:$B$128,C386,SONDERZAHLUNGEN!$C$9:$C$128,A386,SONDERZAHLUNGEN!$H$9:$H$128,"OK",SONDERZAHLUNGEN!$F$9:$F$128,"Ja")))</x:f>
      </x:c>
      <x:c r="H386" s="88" t="str">
        <x:f>IF(C386="","",MIN(MAX(0,D386+E386-F386-G386),MAX(0,IF(MONATSBUDGET!$C$26="",0,MONATSBUDGET!$C$26)-SUM(F380:F399)-SUM(H380:H385))))</x:f>
      </x:c>
      <x:c r="I386" s="88" t="str">
        <x:f>IF(C386="","",MAX(0,ROUND(D386+E386-F386-G386-H386,2)))</x:f>
      </x:c>
      <x:c r="J386" s="88" t="str">
        <x:f>IF(C386="","",F386+G386+H386)</x:f>
      </x:c>
      <x:c r="K386" s="88" t="str">
        <x:f>IF(C386="","",MAX(0,SUMIFS(SONDERZAHLUNGEN!$E$9:$E$128,SONDERZAHLUNGEN!$B$9:$B$128,C386,SONDERZAHLUNGEN!$C$9:$C$128,A386,SONDERZAHLUNGEN!$H$9:$H$128,"OK",SONDERZAHLUNGEN!$F$9:$F$128,"Ja")-G386))</x:f>
      </x:c>
    </x:row>
    <x:row r="387" ht="19" customHeight="1">
      <x:c r="A387" s="90" t="n">
        <x:f>MONATSBUDGET!$A$26</x:f>
        <x:v>46784</x:v>
      </x:c>
      <x:c r="B387" t="n">
        <x:f>8</x:f>
        <x:v>8</x:v>
      </x:c>
      <x:c r="C387" t="str">
        <x:f>IF($N$16="","",$N$16)</x:f>
      </x:c>
      <x:c r="D387" s="88" t="str">
        <x:f>IF(C387="","",I367)</x:f>
      </x:c>
      <x:c r="E387" s="88" t="str">
        <x:f>IF(C387="","",ROUND(D387*$P$16/12,2))</x:f>
      </x:c>
      <x:c r="F387" s="88" t="str">
        <x:f>IF(C387="","",MIN(D387+E387,$Q$16))</x:f>
      </x:c>
      <x:c r="G387" s="88" t="str">
        <x:f>IF(C387="","",MIN(MAX(0,D387+E387-F387),SUMIFS(SONDERZAHLUNGEN!$E$9:$E$128,SONDERZAHLUNGEN!$B$9:$B$128,C387,SONDERZAHLUNGEN!$C$9:$C$128,A387,SONDERZAHLUNGEN!$H$9:$H$128,"OK",SONDERZAHLUNGEN!$F$9:$F$128,"Ja")))</x:f>
      </x:c>
      <x:c r="H387" s="88" t="str">
        <x:f>IF(C387="","",MIN(MAX(0,D387+E387-F387-G387),MAX(0,IF(MONATSBUDGET!$C$26="",0,MONATSBUDGET!$C$26)-SUM(F380:F399)-SUM(H380:H386))))</x:f>
      </x:c>
      <x:c r="I387" s="88" t="str">
        <x:f>IF(C387="","",MAX(0,ROUND(D387+E387-F387-G387-H387,2)))</x:f>
      </x:c>
      <x:c r="J387" s="88" t="str">
        <x:f>IF(C387="","",F387+G387+H387)</x:f>
      </x:c>
      <x:c r="K387" s="88" t="str">
        <x:f>IF(C387="","",MAX(0,SUMIFS(SONDERZAHLUNGEN!$E$9:$E$128,SONDERZAHLUNGEN!$B$9:$B$128,C387,SONDERZAHLUNGEN!$C$9:$C$128,A387,SONDERZAHLUNGEN!$H$9:$H$128,"OK",SONDERZAHLUNGEN!$F$9:$F$128,"Ja")-G387))</x:f>
      </x:c>
    </x:row>
    <x:row r="388" ht="19" customHeight="1">
      <x:c r="A388" s="90" t="n">
        <x:f>MONATSBUDGET!$A$26</x:f>
        <x:v>46784</x:v>
      </x:c>
      <x:c r="B388" t="n">
        <x:f>9</x:f>
        <x:v>9</x:v>
      </x:c>
      <x:c r="C388" t="str">
        <x:f>IF($N$17="","",$N$17)</x:f>
      </x:c>
      <x:c r="D388" s="88" t="str">
        <x:f>IF(C388="","",I368)</x:f>
      </x:c>
      <x:c r="E388" s="88" t="str">
        <x:f>IF(C388="","",ROUND(D388*$P$17/12,2))</x:f>
      </x:c>
      <x:c r="F388" s="88" t="str">
        <x:f>IF(C388="","",MIN(D388+E388,$Q$17))</x:f>
      </x:c>
      <x:c r="G388" s="88" t="str">
        <x:f>IF(C388="","",MIN(MAX(0,D388+E388-F388),SUMIFS(SONDERZAHLUNGEN!$E$9:$E$128,SONDERZAHLUNGEN!$B$9:$B$128,C388,SONDERZAHLUNGEN!$C$9:$C$128,A388,SONDERZAHLUNGEN!$H$9:$H$128,"OK",SONDERZAHLUNGEN!$F$9:$F$128,"Ja")))</x:f>
      </x:c>
      <x:c r="H388" s="88" t="str">
        <x:f>IF(C388="","",MIN(MAX(0,D388+E388-F388-G388),MAX(0,IF(MONATSBUDGET!$C$26="",0,MONATSBUDGET!$C$26)-SUM(F380:F399)-SUM(H380:H387))))</x:f>
      </x:c>
      <x:c r="I388" s="88" t="str">
        <x:f>IF(C388="","",MAX(0,ROUND(D388+E388-F388-G388-H388,2)))</x:f>
      </x:c>
      <x:c r="J388" s="88" t="str">
        <x:f>IF(C388="","",F388+G388+H388)</x:f>
      </x:c>
      <x:c r="K388" s="88" t="str">
        <x:f>IF(C388="","",MAX(0,SUMIFS(SONDERZAHLUNGEN!$E$9:$E$128,SONDERZAHLUNGEN!$B$9:$B$128,C388,SONDERZAHLUNGEN!$C$9:$C$128,A388,SONDERZAHLUNGEN!$H$9:$H$128,"OK",SONDERZAHLUNGEN!$F$9:$F$128,"Ja")-G388))</x:f>
      </x:c>
    </x:row>
    <x:row r="389" ht="19" customHeight="1">
      <x:c r="A389" s="90" t="n">
        <x:f>MONATSBUDGET!$A$26</x:f>
        <x:v>46784</x:v>
      </x:c>
      <x:c r="B389" t="n">
        <x:f>10</x:f>
        <x:v>10</x:v>
      </x:c>
      <x:c r="C389" t="str">
        <x:f>IF($N$18="","",$N$18)</x:f>
      </x:c>
      <x:c r="D389" s="88" t="str">
        <x:f>IF(C389="","",I369)</x:f>
      </x:c>
      <x:c r="E389" s="88" t="str">
        <x:f>IF(C389="","",ROUND(D389*$P$18/12,2))</x:f>
      </x:c>
      <x:c r="F389" s="88" t="str">
        <x:f>IF(C389="","",MIN(D389+E389,$Q$18))</x:f>
      </x:c>
      <x:c r="G389" s="88" t="str">
        <x:f>IF(C389="","",MIN(MAX(0,D389+E389-F389),SUMIFS(SONDERZAHLUNGEN!$E$9:$E$128,SONDERZAHLUNGEN!$B$9:$B$128,C389,SONDERZAHLUNGEN!$C$9:$C$128,A389,SONDERZAHLUNGEN!$H$9:$H$128,"OK",SONDERZAHLUNGEN!$F$9:$F$128,"Ja")))</x:f>
      </x:c>
      <x:c r="H389" s="88" t="str">
        <x:f>IF(C389="","",MIN(MAX(0,D389+E389-F389-G389),MAX(0,IF(MONATSBUDGET!$C$26="",0,MONATSBUDGET!$C$26)-SUM(F380:F399)-SUM(H380:H388))))</x:f>
      </x:c>
      <x:c r="I389" s="88" t="str">
        <x:f>IF(C389="","",MAX(0,ROUND(D389+E389-F389-G389-H389,2)))</x:f>
      </x:c>
      <x:c r="J389" s="88" t="str">
        <x:f>IF(C389="","",F389+G389+H389)</x:f>
      </x:c>
      <x:c r="K389" s="88" t="str">
        <x:f>IF(C389="","",MAX(0,SUMIFS(SONDERZAHLUNGEN!$E$9:$E$128,SONDERZAHLUNGEN!$B$9:$B$128,C389,SONDERZAHLUNGEN!$C$9:$C$128,A389,SONDERZAHLUNGEN!$H$9:$H$128,"OK",SONDERZAHLUNGEN!$F$9:$F$128,"Ja")-G389))</x:f>
      </x:c>
    </x:row>
    <x:row r="390" ht="19" customHeight="1">
      <x:c r="A390" s="90" t="n">
        <x:f>MONATSBUDGET!$A$26</x:f>
        <x:v>46784</x:v>
      </x:c>
      <x:c r="B390" t="n">
        <x:f>11</x:f>
        <x:v>11</x:v>
      </x:c>
      <x:c r="C390" t="str">
        <x:f>IF($N$19="","",$N$19)</x:f>
      </x:c>
      <x:c r="D390" s="88" t="str">
        <x:f>IF(C390="","",I370)</x:f>
      </x:c>
      <x:c r="E390" s="88" t="str">
        <x:f>IF(C390="","",ROUND(D390*$P$19/12,2))</x:f>
      </x:c>
      <x:c r="F390" s="88" t="str">
        <x:f>IF(C390="","",MIN(D390+E390,$Q$19))</x:f>
      </x:c>
      <x:c r="G390" s="88" t="str">
        <x:f>IF(C390="","",MIN(MAX(0,D390+E390-F390),SUMIFS(SONDERZAHLUNGEN!$E$9:$E$128,SONDERZAHLUNGEN!$B$9:$B$128,C390,SONDERZAHLUNGEN!$C$9:$C$128,A390,SONDERZAHLUNGEN!$H$9:$H$128,"OK",SONDERZAHLUNGEN!$F$9:$F$128,"Ja")))</x:f>
      </x:c>
      <x:c r="H390" s="88" t="str">
        <x:f>IF(C390="","",MIN(MAX(0,D390+E390-F390-G390),MAX(0,IF(MONATSBUDGET!$C$26="",0,MONATSBUDGET!$C$26)-SUM(F380:F399)-SUM(H380:H389))))</x:f>
      </x:c>
      <x:c r="I390" s="88" t="str">
        <x:f>IF(C390="","",MAX(0,ROUND(D390+E390-F390-G390-H390,2)))</x:f>
      </x:c>
      <x:c r="J390" s="88" t="str">
        <x:f>IF(C390="","",F390+G390+H390)</x:f>
      </x:c>
      <x:c r="K390" s="88" t="str">
        <x:f>IF(C390="","",MAX(0,SUMIFS(SONDERZAHLUNGEN!$E$9:$E$128,SONDERZAHLUNGEN!$B$9:$B$128,C390,SONDERZAHLUNGEN!$C$9:$C$128,A390,SONDERZAHLUNGEN!$H$9:$H$128,"OK",SONDERZAHLUNGEN!$F$9:$F$128,"Ja")-G390))</x:f>
      </x:c>
    </x:row>
    <x:row r="391" ht="19" customHeight="1">
      <x:c r="A391" s="90" t="n">
        <x:f>MONATSBUDGET!$A$26</x:f>
        <x:v>46784</x:v>
      </x:c>
      <x:c r="B391" t="n">
        <x:f>12</x:f>
        <x:v>12</x:v>
      </x:c>
      <x:c r="C391" t="str">
        <x:f>IF($N$20="","",$N$20)</x:f>
      </x:c>
      <x:c r="D391" s="88" t="str">
        <x:f>IF(C391="","",I371)</x:f>
      </x:c>
      <x:c r="E391" s="88" t="str">
        <x:f>IF(C391="","",ROUND(D391*$P$20/12,2))</x:f>
      </x:c>
      <x:c r="F391" s="88" t="str">
        <x:f>IF(C391="","",MIN(D391+E391,$Q$20))</x:f>
      </x:c>
      <x:c r="G391" s="88" t="str">
        <x:f>IF(C391="","",MIN(MAX(0,D391+E391-F391),SUMIFS(SONDERZAHLUNGEN!$E$9:$E$128,SONDERZAHLUNGEN!$B$9:$B$128,C391,SONDERZAHLUNGEN!$C$9:$C$128,A391,SONDERZAHLUNGEN!$H$9:$H$128,"OK",SONDERZAHLUNGEN!$F$9:$F$128,"Ja")))</x:f>
      </x:c>
      <x:c r="H391" s="88" t="str">
        <x:f>IF(C391="","",MIN(MAX(0,D391+E391-F391-G391),MAX(0,IF(MONATSBUDGET!$C$26="",0,MONATSBUDGET!$C$26)-SUM(F380:F399)-SUM(H380:H390))))</x:f>
      </x:c>
      <x:c r="I391" s="88" t="str">
        <x:f>IF(C391="","",MAX(0,ROUND(D391+E391-F391-G391-H391,2)))</x:f>
      </x:c>
      <x:c r="J391" s="88" t="str">
        <x:f>IF(C391="","",F391+G391+H391)</x:f>
      </x:c>
      <x:c r="K391" s="88" t="str">
        <x:f>IF(C391="","",MAX(0,SUMIFS(SONDERZAHLUNGEN!$E$9:$E$128,SONDERZAHLUNGEN!$B$9:$B$128,C391,SONDERZAHLUNGEN!$C$9:$C$128,A391,SONDERZAHLUNGEN!$H$9:$H$128,"OK",SONDERZAHLUNGEN!$F$9:$F$128,"Ja")-G391))</x:f>
      </x:c>
    </x:row>
    <x:row r="392" ht="19" customHeight="1">
      <x:c r="A392" s="90" t="n">
        <x:f>MONATSBUDGET!$A$26</x:f>
        <x:v>46784</x:v>
      </x:c>
      <x:c r="B392" t="n">
        <x:f>13</x:f>
        <x:v>13</x:v>
      </x:c>
      <x:c r="C392" t="str">
        <x:f>IF($N$21="","",$N$21)</x:f>
      </x:c>
      <x:c r="D392" s="88" t="str">
        <x:f>IF(C392="","",I372)</x:f>
      </x:c>
      <x:c r="E392" s="88" t="str">
        <x:f>IF(C392="","",ROUND(D392*$P$21/12,2))</x:f>
      </x:c>
      <x:c r="F392" s="88" t="str">
        <x:f>IF(C392="","",MIN(D392+E392,$Q$21))</x:f>
      </x:c>
      <x:c r="G392" s="88" t="str">
        <x:f>IF(C392="","",MIN(MAX(0,D392+E392-F392),SUMIFS(SONDERZAHLUNGEN!$E$9:$E$128,SONDERZAHLUNGEN!$B$9:$B$128,C392,SONDERZAHLUNGEN!$C$9:$C$128,A392,SONDERZAHLUNGEN!$H$9:$H$128,"OK",SONDERZAHLUNGEN!$F$9:$F$128,"Ja")))</x:f>
      </x:c>
      <x:c r="H392" s="88" t="str">
        <x:f>IF(C392="","",MIN(MAX(0,D392+E392-F392-G392),MAX(0,IF(MONATSBUDGET!$C$26="",0,MONATSBUDGET!$C$26)-SUM(F380:F399)-SUM(H380:H391))))</x:f>
      </x:c>
      <x:c r="I392" s="88" t="str">
        <x:f>IF(C392="","",MAX(0,ROUND(D392+E392-F392-G392-H392,2)))</x:f>
      </x:c>
      <x:c r="J392" s="88" t="str">
        <x:f>IF(C392="","",F392+G392+H392)</x:f>
      </x:c>
      <x:c r="K392" s="88" t="str">
        <x:f>IF(C392="","",MAX(0,SUMIFS(SONDERZAHLUNGEN!$E$9:$E$128,SONDERZAHLUNGEN!$B$9:$B$128,C392,SONDERZAHLUNGEN!$C$9:$C$128,A392,SONDERZAHLUNGEN!$H$9:$H$128,"OK",SONDERZAHLUNGEN!$F$9:$F$128,"Ja")-G392))</x:f>
      </x:c>
    </x:row>
    <x:row r="393" ht="19" customHeight="1">
      <x:c r="A393" s="90" t="n">
        <x:f>MONATSBUDGET!$A$26</x:f>
        <x:v>46784</x:v>
      </x:c>
      <x:c r="B393" t="n">
        <x:f>14</x:f>
        <x:v>14</x:v>
      </x:c>
      <x:c r="C393" t="str">
        <x:f>IF($N$22="","",$N$22)</x:f>
      </x:c>
      <x:c r="D393" s="88" t="str">
        <x:f>IF(C393="","",I373)</x:f>
      </x:c>
      <x:c r="E393" s="88" t="str">
        <x:f>IF(C393="","",ROUND(D393*$P$22/12,2))</x:f>
      </x:c>
      <x:c r="F393" s="88" t="str">
        <x:f>IF(C393="","",MIN(D393+E393,$Q$22))</x:f>
      </x:c>
      <x:c r="G393" s="88" t="str">
        <x:f>IF(C393="","",MIN(MAX(0,D393+E393-F393),SUMIFS(SONDERZAHLUNGEN!$E$9:$E$128,SONDERZAHLUNGEN!$B$9:$B$128,C393,SONDERZAHLUNGEN!$C$9:$C$128,A393,SONDERZAHLUNGEN!$H$9:$H$128,"OK",SONDERZAHLUNGEN!$F$9:$F$128,"Ja")))</x:f>
      </x:c>
      <x:c r="H393" s="88" t="str">
        <x:f>IF(C393="","",MIN(MAX(0,D393+E393-F393-G393),MAX(0,IF(MONATSBUDGET!$C$26="",0,MONATSBUDGET!$C$26)-SUM(F380:F399)-SUM(H380:H392))))</x:f>
      </x:c>
      <x:c r="I393" s="88" t="str">
        <x:f>IF(C393="","",MAX(0,ROUND(D393+E393-F393-G393-H393,2)))</x:f>
      </x:c>
      <x:c r="J393" s="88" t="str">
        <x:f>IF(C393="","",F393+G393+H393)</x:f>
      </x:c>
      <x:c r="K393" s="88" t="str">
        <x:f>IF(C393="","",MAX(0,SUMIFS(SONDERZAHLUNGEN!$E$9:$E$128,SONDERZAHLUNGEN!$B$9:$B$128,C393,SONDERZAHLUNGEN!$C$9:$C$128,A393,SONDERZAHLUNGEN!$H$9:$H$128,"OK",SONDERZAHLUNGEN!$F$9:$F$128,"Ja")-G393))</x:f>
      </x:c>
    </x:row>
    <x:row r="394" ht="19" customHeight="1">
      <x:c r="A394" s="90" t="n">
        <x:f>MONATSBUDGET!$A$26</x:f>
        <x:v>46784</x:v>
      </x:c>
      <x:c r="B394" t="n">
        <x:f>15</x:f>
        <x:v>15</x:v>
      </x:c>
      <x:c r="C394" t="str">
        <x:f>IF($N$23="","",$N$23)</x:f>
      </x:c>
      <x:c r="D394" s="88" t="str">
        <x:f>IF(C394="","",I374)</x:f>
      </x:c>
      <x:c r="E394" s="88" t="str">
        <x:f>IF(C394="","",ROUND(D394*$P$23/12,2))</x:f>
      </x:c>
      <x:c r="F394" s="88" t="str">
        <x:f>IF(C394="","",MIN(D394+E394,$Q$23))</x:f>
      </x:c>
      <x:c r="G394" s="88" t="str">
        <x:f>IF(C394="","",MIN(MAX(0,D394+E394-F394),SUMIFS(SONDERZAHLUNGEN!$E$9:$E$128,SONDERZAHLUNGEN!$B$9:$B$128,C394,SONDERZAHLUNGEN!$C$9:$C$128,A394,SONDERZAHLUNGEN!$H$9:$H$128,"OK",SONDERZAHLUNGEN!$F$9:$F$128,"Ja")))</x:f>
      </x:c>
      <x:c r="H394" s="88" t="str">
        <x:f>IF(C394="","",MIN(MAX(0,D394+E394-F394-G394),MAX(0,IF(MONATSBUDGET!$C$26="",0,MONATSBUDGET!$C$26)-SUM(F380:F399)-SUM(H380:H393))))</x:f>
      </x:c>
      <x:c r="I394" s="88" t="str">
        <x:f>IF(C394="","",MAX(0,ROUND(D394+E394-F394-G394-H394,2)))</x:f>
      </x:c>
      <x:c r="J394" s="88" t="str">
        <x:f>IF(C394="","",F394+G394+H394)</x:f>
      </x:c>
      <x:c r="K394" s="88" t="str">
        <x:f>IF(C394="","",MAX(0,SUMIFS(SONDERZAHLUNGEN!$E$9:$E$128,SONDERZAHLUNGEN!$B$9:$B$128,C394,SONDERZAHLUNGEN!$C$9:$C$128,A394,SONDERZAHLUNGEN!$H$9:$H$128,"OK",SONDERZAHLUNGEN!$F$9:$F$128,"Ja")-G394))</x:f>
      </x:c>
    </x:row>
    <x:row r="395" ht="19" customHeight="1">
      <x:c r="A395" s="90" t="n">
        <x:f>MONATSBUDGET!$A$26</x:f>
        <x:v>46784</x:v>
      </x:c>
      <x:c r="B395" t="n">
        <x:f>16</x:f>
        <x:v>16</x:v>
      </x:c>
      <x:c r="C395" t="str">
        <x:f>IF($N$24="","",$N$24)</x:f>
      </x:c>
      <x:c r="D395" s="88" t="str">
        <x:f>IF(C395="","",I375)</x:f>
      </x:c>
      <x:c r="E395" s="88" t="str">
        <x:f>IF(C395="","",ROUND(D395*$P$24/12,2))</x:f>
      </x:c>
      <x:c r="F395" s="88" t="str">
        <x:f>IF(C395="","",MIN(D395+E395,$Q$24))</x:f>
      </x:c>
      <x:c r="G395" s="88" t="str">
        <x:f>IF(C395="","",MIN(MAX(0,D395+E395-F395),SUMIFS(SONDERZAHLUNGEN!$E$9:$E$128,SONDERZAHLUNGEN!$B$9:$B$128,C395,SONDERZAHLUNGEN!$C$9:$C$128,A395,SONDERZAHLUNGEN!$H$9:$H$128,"OK",SONDERZAHLUNGEN!$F$9:$F$128,"Ja")))</x:f>
      </x:c>
      <x:c r="H395" s="88" t="str">
        <x:f>IF(C395="","",MIN(MAX(0,D395+E395-F395-G395),MAX(0,IF(MONATSBUDGET!$C$26="",0,MONATSBUDGET!$C$26)-SUM(F380:F399)-SUM(H380:H394))))</x:f>
      </x:c>
      <x:c r="I395" s="88" t="str">
        <x:f>IF(C395="","",MAX(0,ROUND(D395+E395-F395-G395-H395,2)))</x:f>
      </x:c>
      <x:c r="J395" s="88" t="str">
        <x:f>IF(C395="","",F395+G395+H395)</x:f>
      </x:c>
      <x:c r="K395" s="88" t="str">
        <x:f>IF(C395="","",MAX(0,SUMIFS(SONDERZAHLUNGEN!$E$9:$E$128,SONDERZAHLUNGEN!$B$9:$B$128,C395,SONDERZAHLUNGEN!$C$9:$C$128,A395,SONDERZAHLUNGEN!$H$9:$H$128,"OK",SONDERZAHLUNGEN!$F$9:$F$128,"Ja")-G395))</x:f>
      </x:c>
    </x:row>
    <x:row r="396" ht="19" customHeight="1">
      <x:c r="A396" s="90" t="n">
        <x:f>MONATSBUDGET!$A$26</x:f>
        <x:v>46784</x:v>
      </x:c>
      <x:c r="B396" t="n">
        <x:f>17</x:f>
        <x:v>17</x:v>
      </x:c>
      <x:c r="C396" t="str">
        <x:f>IF($N$25="","",$N$25)</x:f>
      </x:c>
      <x:c r="D396" s="88" t="str">
        <x:f>IF(C396="","",I376)</x:f>
      </x:c>
      <x:c r="E396" s="88" t="str">
        <x:f>IF(C396="","",ROUND(D396*$P$25/12,2))</x:f>
      </x:c>
      <x:c r="F396" s="88" t="str">
        <x:f>IF(C396="","",MIN(D396+E396,$Q$25))</x:f>
      </x:c>
      <x:c r="G396" s="88" t="str">
        <x:f>IF(C396="","",MIN(MAX(0,D396+E396-F396),SUMIFS(SONDERZAHLUNGEN!$E$9:$E$128,SONDERZAHLUNGEN!$B$9:$B$128,C396,SONDERZAHLUNGEN!$C$9:$C$128,A396,SONDERZAHLUNGEN!$H$9:$H$128,"OK",SONDERZAHLUNGEN!$F$9:$F$128,"Ja")))</x:f>
      </x:c>
      <x:c r="H396" s="88" t="str">
        <x:f>IF(C396="","",MIN(MAX(0,D396+E396-F396-G396),MAX(0,IF(MONATSBUDGET!$C$26="",0,MONATSBUDGET!$C$26)-SUM(F380:F399)-SUM(H380:H395))))</x:f>
      </x:c>
      <x:c r="I396" s="88" t="str">
        <x:f>IF(C396="","",MAX(0,ROUND(D396+E396-F396-G396-H396,2)))</x:f>
      </x:c>
      <x:c r="J396" s="88" t="str">
        <x:f>IF(C396="","",F396+G396+H396)</x:f>
      </x:c>
      <x:c r="K396" s="88" t="str">
        <x:f>IF(C396="","",MAX(0,SUMIFS(SONDERZAHLUNGEN!$E$9:$E$128,SONDERZAHLUNGEN!$B$9:$B$128,C396,SONDERZAHLUNGEN!$C$9:$C$128,A396,SONDERZAHLUNGEN!$H$9:$H$128,"OK",SONDERZAHLUNGEN!$F$9:$F$128,"Ja")-G396))</x:f>
      </x:c>
    </x:row>
    <x:row r="397" ht="19" customHeight="1">
      <x:c r="A397" s="90" t="n">
        <x:f>MONATSBUDGET!$A$26</x:f>
        <x:v>46784</x:v>
      </x:c>
      <x:c r="B397" t="n">
        <x:f>18</x:f>
        <x:v>18</x:v>
      </x:c>
      <x:c r="C397" t="str">
        <x:f>IF($N$26="","",$N$26)</x:f>
      </x:c>
      <x:c r="D397" s="88" t="str">
        <x:f>IF(C397="","",I377)</x:f>
      </x:c>
      <x:c r="E397" s="88" t="str">
        <x:f>IF(C397="","",ROUND(D397*$P$26/12,2))</x:f>
      </x:c>
      <x:c r="F397" s="88" t="str">
        <x:f>IF(C397="","",MIN(D397+E397,$Q$26))</x:f>
      </x:c>
      <x:c r="G397" s="88" t="str">
        <x:f>IF(C397="","",MIN(MAX(0,D397+E397-F397),SUMIFS(SONDERZAHLUNGEN!$E$9:$E$128,SONDERZAHLUNGEN!$B$9:$B$128,C397,SONDERZAHLUNGEN!$C$9:$C$128,A397,SONDERZAHLUNGEN!$H$9:$H$128,"OK",SONDERZAHLUNGEN!$F$9:$F$128,"Ja")))</x:f>
      </x:c>
      <x:c r="H397" s="88" t="str">
        <x:f>IF(C397="","",MIN(MAX(0,D397+E397-F397-G397),MAX(0,IF(MONATSBUDGET!$C$26="",0,MONATSBUDGET!$C$26)-SUM(F380:F399)-SUM(H380:H396))))</x:f>
      </x:c>
      <x:c r="I397" s="88" t="str">
        <x:f>IF(C397="","",MAX(0,ROUND(D397+E397-F397-G397-H397,2)))</x:f>
      </x:c>
      <x:c r="J397" s="88" t="str">
        <x:f>IF(C397="","",F397+G397+H397)</x:f>
      </x:c>
      <x:c r="K397" s="88" t="str">
        <x:f>IF(C397="","",MAX(0,SUMIFS(SONDERZAHLUNGEN!$E$9:$E$128,SONDERZAHLUNGEN!$B$9:$B$128,C397,SONDERZAHLUNGEN!$C$9:$C$128,A397,SONDERZAHLUNGEN!$H$9:$H$128,"OK",SONDERZAHLUNGEN!$F$9:$F$128,"Ja")-G397))</x:f>
      </x:c>
    </x:row>
    <x:row r="398" ht="19" customHeight="1">
      <x:c r="A398" s="90" t="n">
        <x:f>MONATSBUDGET!$A$26</x:f>
        <x:v>46784</x:v>
      </x:c>
      <x:c r="B398" t="n">
        <x:f>19</x:f>
        <x:v>19</x:v>
      </x:c>
      <x:c r="C398" t="str">
        <x:f>IF($N$27="","",$N$27)</x:f>
      </x:c>
      <x:c r="D398" s="88" t="str">
        <x:f>IF(C398="","",I378)</x:f>
      </x:c>
      <x:c r="E398" s="88" t="str">
        <x:f>IF(C398="","",ROUND(D398*$P$27/12,2))</x:f>
      </x:c>
      <x:c r="F398" s="88" t="str">
        <x:f>IF(C398="","",MIN(D398+E398,$Q$27))</x:f>
      </x:c>
      <x:c r="G398" s="88" t="str">
        <x:f>IF(C398="","",MIN(MAX(0,D398+E398-F398),SUMIFS(SONDERZAHLUNGEN!$E$9:$E$128,SONDERZAHLUNGEN!$B$9:$B$128,C398,SONDERZAHLUNGEN!$C$9:$C$128,A398,SONDERZAHLUNGEN!$H$9:$H$128,"OK",SONDERZAHLUNGEN!$F$9:$F$128,"Ja")))</x:f>
      </x:c>
      <x:c r="H398" s="88" t="str">
        <x:f>IF(C398="","",MIN(MAX(0,D398+E398-F398-G398),MAX(0,IF(MONATSBUDGET!$C$26="",0,MONATSBUDGET!$C$26)-SUM(F380:F399)-SUM(H380:H397))))</x:f>
      </x:c>
      <x:c r="I398" s="88" t="str">
        <x:f>IF(C398="","",MAX(0,ROUND(D398+E398-F398-G398-H398,2)))</x:f>
      </x:c>
      <x:c r="J398" s="88" t="str">
        <x:f>IF(C398="","",F398+G398+H398)</x:f>
      </x:c>
      <x:c r="K398" s="88" t="str">
        <x:f>IF(C398="","",MAX(0,SUMIFS(SONDERZAHLUNGEN!$E$9:$E$128,SONDERZAHLUNGEN!$B$9:$B$128,C398,SONDERZAHLUNGEN!$C$9:$C$128,A398,SONDERZAHLUNGEN!$H$9:$H$128,"OK",SONDERZAHLUNGEN!$F$9:$F$128,"Ja")-G398))</x:f>
      </x:c>
    </x:row>
    <x:row r="399" ht="19" customHeight="1">
      <x:c r="A399" s="90" t="n">
        <x:f>MONATSBUDGET!$A$26</x:f>
        <x:v>46784</x:v>
      </x:c>
      <x:c r="B399" t="n">
        <x:f>20</x:f>
        <x:v>20</x:v>
      </x:c>
      <x:c r="C399" t="str">
        <x:f>IF($N$28="","",$N$28)</x:f>
      </x:c>
      <x:c r="D399" s="88" t="str">
        <x:f>IF(C399="","",I379)</x:f>
      </x:c>
      <x:c r="E399" s="88" t="str">
        <x:f>IF(C399="","",ROUND(D399*$P$28/12,2))</x:f>
      </x:c>
      <x:c r="F399" s="88" t="str">
        <x:f>IF(C399="","",MIN(D399+E399,$Q$28))</x:f>
      </x:c>
      <x:c r="G399" s="88" t="str">
        <x:f>IF(C399="","",MIN(MAX(0,D399+E399-F399),SUMIFS(SONDERZAHLUNGEN!$E$9:$E$128,SONDERZAHLUNGEN!$B$9:$B$128,C399,SONDERZAHLUNGEN!$C$9:$C$128,A399,SONDERZAHLUNGEN!$H$9:$H$128,"OK",SONDERZAHLUNGEN!$F$9:$F$128,"Ja")))</x:f>
      </x:c>
      <x:c r="H399" s="88" t="str">
        <x:f>IF(C399="","",MIN(MAX(0,D399+E399-F399-G399),MAX(0,IF(MONATSBUDGET!$C$26="",0,MONATSBUDGET!$C$26)-SUM(F380:F399)-SUM(H380:H398))))</x:f>
      </x:c>
      <x:c r="I399" s="88" t="str">
        <x:f>IF(C399="","",MAX(0,ROUND(D399+E399-F399-G399-H399,2)))</x:f>
      </x:c>
      <x:c r="J399" s="88" t="str">
        <x:f>IF(C399="","",F399+G399+H399)</x:f>
      </x:c>
      <x:c r="K399" s="88" t="str">
        <x:f>IF(C399="","",MAX(0,SUMIFS(SONDERZAHLUNGEN!$E$9:$E$128,SONDERZAHLUNGEN!$B$9:$B$128,C399,SONDERZAHLUNGEN!$C$9:$C$128,A399,SONDERZAHLUNGEN!$H$9:$H$128,"OK",SONDERZAHLUNGEN!$F$9:$F$128,"Ja")-G399))</x:f>
      </x:c>
    </x:row>
    <x:row r="400" ht="19" customHeight="1">
      <x:c r="A400" s="90" t="n">
        <x:f>MONATSBUDGET!$A$27</x:f>
        <x:v>46813</x:v>
      </x:c>
      <x:c r="B400" t="n">
        <x:f>1</x:f>
        <x:v>1</x:v>
      </x:c>
      <x:c r="C400" t="str">
        <x:f>IF($N$9="","",$N$9)</x:f>
      </x:c>
      <x:c r="D400" s="88" t="str">
        <x:f>IF(C400="","",I380)</x:f>
      </x:c>
      <x:c r="E400" s="88" t="str">
        <x:f>IF(C400="","",ROUND(D400*$P$9/12,2))</x:f>
      </x:c>
      <x:c r="F400" s="88" t="str">
        <x:f>IF(C400="","",MIN(D400+E400,$Q$9))</x:f>
      </x:c>
      <x:c r="G400" s="88" t="str">
        <x:f>IF(C400="","",MIN(MAX(0,D400+E400-F400),SUMIFS(SONDERZAHLUNGEN!$E$9:$E$128,SONDERZAHLUNGEN!$B$9:$B$128,C400,SONDERZAHLUNGEN!$C$9:$C$128,A400,SONDERZAHLUNGEN!$H$9:$H$128,"OK",SONDERZAHLUNGEN!$F$9:$F$128,"Ja")))</x:f>
      </x:c>
      <x:c r="H400" s="88" t="str">
        <x:f>IF(C400="","",MIN(MAX(0,D400+E400-F400-G400),MAX(0,IF(MONATSBUDGET!$C$27="",0,MONATSBUDGET!$C$27)-SUM(F400:F419)-0)))</x:f>
      </x:c>
      <x:c r="I400" s="88" t="str">
        <x:f>IF(C400="","",MAX(0,ROUND(D400+E400-F400-G400-H400,2)))</x:f>
      </x:c>
      <x:c r="J400" s="88" t="str">
        <x:f>IF(C400="","",F400+G400+H400)</x:f>
      </x:c>
      <x:c r="K400" s="88" t="str">
        <x:f>IF(C400="","",MAX(0,SUMIFS(SONDERZAHLUNGEN!$E$9:$E$128,SONDERZAHLUNGEN!$B$9:$B$128,C400,SONDERZAHLUNGEN!$C$9:$C$128,A400,SONDERZAHLUNGEN!$H$9:$H$128,"OK",SONDERZAHLUNGEN!$F$9:$F$128,"Ja")-G400))</x:f>
      </x:c>
    </x:row>
    <x:row r="401" ht="19" customHeight="1">
      <x:c r="A401" s="90" t="n">
        <x:f>MONATSBUDGET!$A$27</x:f>
        <x:v>46813</x:v>
      </x:c>
      <x:c r="B401" t="n">
        <x:f>2</x:f>
        <x:v>2</x:v>
      </x:c>
      <x:c r="C401" t="str">
        <x:f>IF($N$10="","",$N$10)</x:f>
      </x:c>
      <x:c r="D401" s="88" t="str">
        <x:f>IF(C401="","",I381)</x:f>
      </x:c>
      <x:c r="E401" s="88" t="str">
        <x:f>IF(C401="","",ROUND(D401*$P$10/12,2))</x:f>
      </x:c>
      <x:c r="F401" s="88" t="str">
        <x:f>IF(C401="","",MIN(D401+E401,$Q$10))</x:f>
      </x:c>
      <x:c r="G401" s="88" t="str">
        <x:f>IF(C401="","",MIN(MAX(0,D401+E401-F401),SUMIFS(SONDERZAHLUNGEN!$E$9:$E$128,SONDERZAHLUNGEN!$B$9:$B$128,C401,SONDERZAHLUNGEN!$C$9:$C$128,A401,SONDERZAHLUNGEN!$H$9:$H$128,"OK",SONDERZAHLUNGEN!$F$9:$F$128,"Ja")))</x:f>
      </x:c>
      <x:c r="H401" s="88" t="str">
        <x:f>IF(C401="","",MIN(MAX(0,D401+E401-F401-G401),MAX(0,IF(MONATSBUDGET!$C$27="",0,MONATSBUDGET!$C$27)-SUM(F400:F419)-SUM(H400:H400))))</x:f>
      </x:c>
      <x:c r="I401" s="88" t="str">
        <x:f>IF(C401="","",MAX(0,ROUND(D401+E401-F401-G401-H401,2)))</x:f>
      </x:c>
      <x:c r="J401" s="88" t="str">
        <x:f>IF(C401="","",F401+G401+H401)</x:f>
      </x:c>
      <x:c r="K401" s="88" t="str">
        <x:f>IF(C401="","",MAX(0,SUMIFS(SONDERZAHLUNGEN!$E$9:$E$128,SONDERZAHLUNGEN!$B$9:$B$128,C401,SONDERZAHLUNGEN!$C$9:$C$128,A401,SONDERZAHLUNGEN!$H$9:$H$128,"OK",SONDERZAHLUNGEN!$F$9:$F$128,"Ja")-G401))</x:f>
      </x:c>
    </x:row>
    <x:row r="402" ht="19" customHeight="1">
      <x:c r="A402" s="90" t="n">
        <x:f>MONATSBUDGET!$A$27</x:f>
        <x:v>46813</x:v>
      </x:c>
      <x:c r="B402" t="n">
        <x:f>3</x:f>
        <x:v>3</x:v>
      </x:c>
      <x:c r="C402" t="str">
        <x:f>IF($N$11="","",$N$11)</x:f>
      </x:c>
      <x:c r="D402" s="88" t="str">
        <x:f>IF(C402="","",I382)</x:f>
      </x:c>
      <x:c r="E402" s="88" t="str">
        <x:f>IF(C402="","",ROUND(D402*$P$11/12,2))</x:f>
      </x:c>
      <x:c r="F402" s="88" t="str">
        <x:f>IF(C402="","",MIN(D402+E402,$Q$11))</x:f>
      </x:c>
      <x:c r="G402" s="88" t="str">
        <x:f>IF(C402="","",MIN(MAX(0,D402+E402-F402),SUMIFS(SONDERZAHLUNGEN!$E$9:$E$128,SONDERZAHLUNGEN!$B$9:$B$128,C402,SONDERZAHLUNGEN!$C$9:$C$128,A402,SONDERZAHLUNGEN!$H$9:$H$128,"OK",SONDERZAHLUNGEN!$F$9:$F$128,"Ja")))</x:f>
      </x:c>
      <x:c r="H402" s="88" t="str">
        <x:f>IF(C402="","",MIN(MAX(0,D402+E402-F402-G402),MAX(0,IF(MONATSBUDGET!$C$27="",0,MONATSBUDGET!$C$27)-SUM(F400:F419)-SUM(H400:H401))))</x:f>
      </x:c>
      <x:c r="I402" s="88" t="str">
        <x:f>IF(C402="","",MAX(0,ROUND(D402+E402-F402-G402-H402,2)))</x:f>
      </x:c>
      <x:c r="J402" s="88" t="str">
        <x:f>IF(C402="","",F402+G402+H402)</x:f>
      </x:c>
      <x:c r="K402" s="88" t="str">
        <x:f>IF(C402="","",MAX(0,SUMIFS(SONDERZAHLUNGEN!$E$9:$E$128,SONDERZAHLUNGEN!$B$9:$B$128,C402,SONDERZAHLUNGEN!$C$9:$C$128,A402,SONDERZAHLUNGEN!$H$9:$H$128,"OK",SONDERZAHLUNGEN!$F$9:$F$128,"Ja")-G402))</x:f>
      </x:c>
    </x:row>
    <x:row r="403" ht="19" customHeight="1">
      <x:c r="A403" s="90" t="n">
        <x:f>MONATSBUDGET!$A$27</x:f>
        <x:v>46813</x:v>
      </x:c>
      <x:c r="B403" t="n">
        <x:f>4</x:f>
        <x:v>4</x:v>
      </x:c>
      <x:c r="C403" t="str">
        <x:f>IF($N$12="","",$N$12)</x:f>
      </x:c>
      <x:c r="D403" s="88" t="str">
        <x:f>IF(C403="","",I383)</x:f>
      </x:c>
      <x:c r="E403" s="88" t="str">
        <x:f>IF(C403="","",ROUND(D403*$P$12/12,2))</x:f>
      </x:c>
      <x:c r="F403" s="88" t="str">
        <x:f>IF(C403="","",MIN(D403+E403,$Q$12))</x:f>
      </x:c>
      <x:c r="G403" s="88" t="str">
        <x:f>IF(C403="","",MIN(MAX(0,D403+E403-F403),SUMIFS(SONDERZAHLUNGEN!$E$9:$E$128,SONDERZAHLUNGEN!$B$9:$B$128,C403,SONDERZAHLUNGEN!$C$9:$C$128,A403,SONDERZAHLUNGEN!$H$9:$H$128,"OK",SONDERZAHLUNGEN!$F$9:$F$128,"Ja")))</x:f>
      </x:c>
      <x:c r="H403" s="88" t="str">
        <x:f>IF(C403="","",MIN(MAX(0,D403+E403-F403-G403),MAX(0,IF(MONATSBUDGET!$C$27="",0,MONATSBUDGET!$C$27)-SUM(F400:F419)-SUM(H400:H402))))</x:f>
      </x:c>
      <x:c r="I403" s="88" t="str">
        <x:f>IF(C403="","",MAX(0,ROUND(D403+E403-F403-G403-H403,2)))</x:f>
      </x:c>
      <x:c r="J403" s="88" t="str">
        <x:f>IF(C403="","",F403+G403+H403)</x:f>
      </x:c>
      <x:c r="K403" s="88" t="str">
        <x:f>IF(C403="","",MAX(0,SUMIFS(SONDERZAHLUNGEN!$E$9:$E$128,SONDERZAHLUNGEN!$B$9:$B$128,C403,SONDERZAHLUNGEN!$C$9:$C$128,A403,SONDERZAHLUNGEN!$H$9:$H$128,"OK",SONDERZAHLUNGEN!$F$9:$F$128,"Ja")-G403))</x:f>
      </x:c>
    </x:row>
    <x:row r="404" ht="19" customHeight="1">
      <x:c r="A404" s="90" t="n">
        <x:f>MONATSBUDGET!$A$27</x:f>
        <x:v>46813</x:v>
      </x:c>
      <x:c r="B404" t="n">
        <x:f>5</x:f>
        <x:v>5</x:v>
      </x:c>
      <x:c r="C404" t="str">
        <x:f>IF($N$13="","",$N$13)</x:f>
      </x:c>
      <x:c r="D404" s="88" t="str">
        <x:f>IF(C404="","",I384)</x:f>
      </x:c>
      <x:c r="E404" s="88" t="str">
        <x:f>IF(C404="","",ROUND(D404*$P$13/12,2))</x:f>
      </x:c>
      <x:c r="F404" s="88" t="str">
        <x:f>IF(C404="","",MIN(D404+E404,$Q$13))</x:f>
      </x:c>
      <x:c r="G404" s="88" t="str">
        <x:f>IF(C404="","",MIN(MAX(0,D404+E404-F404),SUMIFS(SONDERZAHLUNGEN!$E$9:$E$128,SONDERZAHLUNGEN!$B$9:$B$128,C404,SONDERZAHLUNGEN!$C$9:$C$128,A404,SONDERZAHLUNGEN!$H$9:$H$128,"OK",SONDERZAHLUNGEN!$F$9:$F$128,"Ja")))</x:f>
      </x:c>
      <x:c r="H404" s="88" t="str">
        <x:f>IF(C404="","",MIN(MAX(0,D404+E404-F404-G404),MAX(0,IF(MONATSBUDGET!$C$27="",0,MONATSBUDGET!$C$27)-SUM(F400:F419)-SUM(H400:H403))))</x:f>
      </x:c>
      <x:c r="I404" s="88" t="str">
        <x:f>IF(C404="","",MAX(0,ROUND(D404+E404-F404-G404-H404,2)))</x:f>
      </x:c>
      <x:c r="J404" s="88" t="str">
        <x:f>IF(C404="","",F404+G404+H404)</x:f>
      </x:c>
      <x:c r="K404" s="88" t="str">
        <x:f>IF(C404="","",MAX(0,SUMIFS(SONDERZAHLUNGEN!$E$9:$E$128,SONDERZAHLUNGEN!$B$9:$B$128,C404,SONDERZAHLUNGEN!$C$9:$C$128,A404,SONDERZAHLUNGEN!$H$9:$H$128,"OK",SONDERZAHLUNGEN!$F$9:$F$128,"Ja")-G404))</x:f>
      </x:c>
    </x:row>
    <x:row r="405" ht="19" customHeight="1">
      <x:c r="A405" s="90" t="n">
        <x:f>MONATSBUDGET!$A$27</x:f>
        <x:v>46813</x:v>
      </x:c>
      <x:c r="B405" t="n">
        <x:f>6</x:f>
        <x:v>6</x:v>
      </x:c>
      <x:c r="C405" t="str">
        <x:f>IF($N$14="","",$N$14)</x:f>
      </x:c>
      <x:c r="D405" s="88" t="str">
        <x:f>IF(C405="","",I385)</x:f>
      </x:c>
      <x:c r="E405" s="88" t="str">
        <x:f>IF(C405="","",ROUND(D405*$P$14/12,2))</x:f>
      </x:c>
      <x:c r="F405" s="88" t="str">
        <x:f>IF(C405="","",MIN(D405+E405,$Q$14))</x:f>
      </x:c>
      <x:c r="G405" s="88" t="str">
        <x:f>IF(C405="","",MIN(MAX(0,D405+E405-F405),SUMIFS(SONDERZAHLUNGEN!$E$9:$E$128,SONDERZAHLUNGEN!$B$9:$B$128,C405,SONDERZAHLUNGEN!$C$9:$C$128,A405,SONDERZAHLUNGEN!$H$9:$H$128,"OK",SONDERZAHLUNGEN!$F$9:$F$128,"Ja")))</x:f>
      </x:c>
      <x:c r="H405" s="88" t="str">
        <x:f>IF(C405="","",MIN(MAX(0,D405+E405-F405-G405),MAX(0,IF(MONATSBUDGET!$C$27="",0,MONATSBUDGET!$C$27)-SUM(F400:F419)-SUM(H400:H404))))</x:f>
      </x:c>
      <x:c r="I405" s="88" t="str">
        <x:f>IF(C405="","",MAX(0,ROUND(D405+E405-F405-G405-H405,2)))</x:f>
      </x:c>
      <x:c r="J405" s="88" t="str">
        <x:f>IF(C405="","",F405+G405+H405)</x:f>
      </x:c>
      <x:c r="K405" s="88" t="str">
        <x:f>IF(C405="","",MAX(0,SUMIFS(SONDERZAHLUNGEN!$E$9:$E$128,SONDERZAHLUNGEN!$B$9:$B$128,C405,SONDERZAHLUNGEN!$C$9:$C$128,A405,SONDERZAHLUNGEN!$H$9:$H$128,"OK",SONDERZAHLUNGEN!$F$9:$F$128,"Ja")-G405))</x:f>
      </x:c>
    </x:row>
    <x:row r="406" ht="19" customHeight="1">
      <x:c r="A406" s="90" t="n">
        <x:f>MONATSBUDGET!$A$27</x:f>
        <x:v>46813</x:v>
      </x:c>
      <x:c r="B406" t="n">
        <x:f>7</x:f>
        <x:v>7</x:v>
      </x:c>
      <x:c r="C406" t="str">
        <x:f>IF($N$15="","",$N$15)</x:f>
      </x:c>
      <x:c r="D406" s="88" t="str">
        <x:f>IF(C406="","",I386)</x:f>
      </x:c>
      <x:c r="E406" s="88" t="str">
        <x:f>IF(C406="","",ROUND(D406*$P$15/12,2))</x:f>
      </x:c>
      <x:c r="F406" s="88" t="str">
        <x:f>IF(C406="","",MIN(D406+E406,$Q$15))</x:f>
      </x:c>
      <x:c r="G406" s="88" t="str">
        <x:f>IF(C406="","",MIN(MAX(0,D406+E406-F406),SUMIFS(SONDERZAHLUNGEN!$E$9:$E$128,SONDERZAHLUNGEN!$B$9:$B$128,C406,SONDERZAHLUNGEN!$C$9:$C$128,A406,SONDERZAHLUNGEN!$H$9:$H$128,"OK",SONDERZAHLUNGEN!$F$9:$F$128,"Ja")))</x:f>
      </x:c>
      <x:c r="H406" s="88" t="str">
        <x:f>IF(C406="","",MIN(MAX(0,D406+E406-F406-G406),MAX(0,IF(MONATSBUDGET!$C$27="",0,MONATSBUDGET!$C$27)-SUM(F400:F419)-SUM(H400:H405))))</x:f>
      </x:c>
      <x:c r="I406" s="88" t="str">
        <x:f>IF(C406="","",MAX(0,ROUND(D406+E406-F406-G406-H406,2)))</x:f>
      </x:c>
      <x:c r="J406" s="88" t="str">
        <x:f>IF(C406="","",F406+G406+H406)</x:f>
      </x:c>
      <x:c r="K406" s="88" t="str">
        <x:f>IF(C406="","",MAX(0,SUMIFS(SONDERZAHLUNGEN!$E$9:$E$128,SONDERZAHLUNGEN!$B$9:$B$128,C406,SONDERZAHLUNGEN!$C$9:$C$128,A406,SONDERZAHLUNGEN!$H$9:$H$128,"OK",SONDERZAHLUNGEN!$F$9:$F$128,"Ja")-G406))</x:f>
      </x:c>
    </x:row>
    <x:row r="407" ht="19" customHeight="1">
      <x:c r="A407" s="90" t="n">
        <x:f>MONATSBUDGET!$A$27</x:f>
        <x:v>46813</x:v>
      </x:c>
      <x:c r="B407" t="n">
        <x:f>8</x:f>
        <x:v>8</x:v>
      </x:c>
      <x:c r="C407" t="str">
        <x:f>IF($N$16="","",$N$16)</x:f>
      </x:c>
      <x:c r="D407" s="88" t="str">
        <x:f>IF(C407="","",I387)</x:f>
      </x:c>
      <x:c r="E407" s="88" t="str">
        <x:f>IF(C407="","",ROUND(D407*$P$16/12,2))</x:f>
      </x:c>
      <x:c r="F407" s="88" t="str">
        <x:f>IF(C407="","",MIN(D407+E407,$Q$16))</x:f>
      </x:c>
      <x:c r="G407" s="88" t="str">
        <x:f>IF(C407="","",MIN(MAX(0,D407+E407-F407),SUMIFS(SONDERZAHLUNGEN!$E$9:$E$128,SONDERZAHLUNGEN!$B$9:$B$128,C407,SONDERZAHLUNGEN!$C$9:$C$128,A407,SONDERZAHLUNGEN!$H$9:$H$128,"OK",SONDERZAHLUNGEN!$F$9:$F$128,"Ja")))</x:f>
      </x:c>
      <x:c r="H407" s="88" t="str">
        <x:f>IF(C407="","",MIN(MAX(0,D407+E407-F407-G407),MAX(0,IF(MONATSBUDGET!$C$27="",0,MONATSBUDGET!$C$27)-SUM(F400:F419)-SUM(H400:H406))))</x:f>
      </x:c>
      <x:c r="I407" s="88" t="str">
        <x:f>IF(C407="","",MAX(0,ROUND(D407+E407-F407-G407-H407,2)))</x:f>
      </x:c>
      <x:c r="J407" s="88" t="str">
        <x:f>IF(C407="","",F407+G407+H407)</x:f>
      </x:c>
      <x:c r="K407" s="88" t="str">
        <x:f>IF(C407="","",MAX(0,SUMIFS(SONDERZAHLUNGEN!$E$9:$E$128,SONDERZAHLUNGEN!$B$9:$B$128,C407,SONDERZAHLUNGEN!$C$9:$C$128,A407,SONDERZAHLUNGEN!$H$9:$H$128,"OK",SONDERZAHLUNGEN!$F$9:$F$128,"Ja")-G407))</x:f>
      </x:c>
    </x:row>
    <x:row r="408" ht="19" customHeight="1">
      <x:c r="A408" s="90" t="n">
        <x:f>MONATSBUDGET!$A$27</x:f>
        <x:v>46813</x:v>
      </x:c>
      <x:c r="B408" t="n">
        <x:f>9</x:f>
        <x:v>9</x:v>
      </x:c>
      <x:c r="C408" t="str">
        <x:f>IF($N$17="","",$N$17)</x:f>
      </x:c>
      <x:c r="D408" s="88" t="str">
        <x:f>IF(C408="","",I388)</x:f>
      </x:c>
      <x:c r="E408" s="88" t="str">
        <x:f>IF(C408="","",ROUND(D408*$P$17/12,2))</x:f>
      </x:c>
      <x:c r="F408" s="88" t="str">
        <x:f>IF(C408="","",MIN(D408+E408,$Q$17))</x:f>
      </x:c>
      <x:c r="G408" s="88" t="str">
        <x:f>IF(C408="","",MIN(MAX(0,D408+E408-F408),SUMIFS(SONDERZAHLUNGEN!$E$9:$E$128,SONDERZAHLUNGEN!$B$9:$B$128,C408,SONDERZAHLUNGEN!$C$9:$C$128,A408,SONDERZAHLUNGEN!$H$9:$H$128,"OK",SONDERZAHLUNGEN!$F$9:$F$128,"Ja")))</x:f>
      </x:c>
      <x:c r="H408" s="88" t="str">
        <x:f>IF(C408="","",MIN(MAX(0,D408+E408-F408-G408),MAX(0,IF(MONATSBUDGET!$C$27="",0,MONATSBUDGET!$C$27)-SUM(F400:F419)-SUM(H400:H407))))</x:f>
      </x:c>
      <x:c r="I408" s="88" t="str">
        <x:f>IF(C408="","",MAX(0,ROUND(D408+E408-F408-G408-H408,2)))</x:f>
      </x:c>
      <x:c r="J408" s="88" t="str">
        <x:f>IF(C408="","",F408+G408+H408)</x:f>
      </x:c>
      <x:c r="K408" s="88" t="str">
        <x:f>IF(C408="","",MAX(0,SUMIFS(SONDERZAHLUNGEN!$E$9:$E$128,SONDERZAHLUNGEN!$B$9:$B$128,C408,SONDERZAHLUNGEN!$C$9:$C$128,A408,SONDERZAHLUNGEN!$H$9:$H$128,"OK",SONDERZAHLUNGEN!$F$9:$F$128,"Ja")-G408))</x:f>
      </x:c>
    </x:row>
    <x:row r="409" ht="19" customHeight="1">
      <x:c r="A409" s="90" t="n">
        <x:f>MONATSBUDGET!$A$27</x:f>
        <x:v>46813</x:v>
      </x:c>
      <x:c r="B409" t="n">
        <x:f>10</x:f>
        <x:v>10</x:v>
      </x:c>
      <x:c r="C409" t="str">
        <x:f>IF($N$18="","",$N$18)</x:f>
      </x:c>
      <x:c r="D409" s="88" t="str">
        <x:f>IF(C409="","",I389)</x:f>
      </x:c>
      <x:c r="E409" s="88" t="str">
        <x:f>IF(C409="","",ROUND(D409*$P$18/12,2))</x:f>
      </x:c>
      <x:c r="F409" s="88" t="str">
        <x:f>IF(C409="","",MIN(D409+E409,$Q$18))</x:f>
      </x:c>
      <x:c r="G409" s="88" t="str">
        <x:f>IF(C409="","",MIN(MAX(0,D409+E409-F409),SUMIFS(SONDERZAHLUNGEN!$E$9:$E$128,SONDERZAHLUNGEN!$B$9:$B$128,C409,SONDERZAHLUNGEN!$C$9:$C$128,A409,SONDERZAHLUNGEN!$H$9:$H$128,"OK",SONDERZAHLUNGEN!$F$9:$F$128,"Ja")))</x:f>
      </x:c>
      <x:c r="H409" s="88" t="str">
        <x:f>IF(C409="","",MIN(MAX(0,D409+E409-F409-G409),MAX(0,IF(MONATSBUDGET!$C$27="",0,MONATSBUDGET!$C$27)-SUM(F400:F419)-SUM(H400:H408))))</x:f>
      </x:c>
      <x:c r="I409" s="88" t="str">
        <x:f>IF(C409="","",MAX(0,ROUND(D409+E409-F409-G409-H409,2)))</x:f>
      </x:c>
      <x:c r="J409" s="88" t="str">
        <x:f>IF(C409="","",F409+G409+H409)</x:f>
      </x:c>
      <x:c r="K409" s="88" t="str">
        <x:f>IF(C409="","",MAX(0,SUMIFS(SONDERZAHLUNGEN!$E$9:$E$128,SONDERZAHLUNGEN!$B$9:$B$128,C409,SONDERZAHLUNGEN!$C$9:$C$128,A409,SONDERZAHLUNGEN!$H$9:$H$128,"OK",SONDERZAHLUNGEN!$F$9:$F$128,"Ja")-G409))</x:f>
      </x:c>
    </x:row>
    <x:row r="410" ht="19" customHeight="1">
      <x:c r="A410" s="90" t="n">
        <x:f>MONATSBUDGET!$A$27</x:f>
        <x:v>46813</x:v>
      </x:c>
      <x:c r="B410" t="n">
        <x:f>11</x:f>
        <x:v>11</x:v>
      </x:c>
      <x:c r="C410" t="str">
        <x:f>IF($N$19="","",$N$19)</x:f>
      </x:c>
      <x:c r="D410" s="88" t="str">
        <x:f>IF(C410="","",I390)</x:f>
      </x:c>
      <x:c r="E410" s="88" t="str">
        <x:f>IF(C410="","",ROUND(D410*$P$19/12,2))</x:f>
      </x:c>
      <x:c r="F410" s="88" t="str">
        <x:f>IF(C410="","",MIN(D410+E410,$Q$19))</x:f>
      </x:c>
      <x:c r="G410" s="88" t="str">
        <x:f>IF(C410="","",MIN(MAX(0,D410+E410-F410),SUMIFS(SONDERZAHLUNGEN!$E$9:$E$128,SONDERZAHLUNGEN!$B$9:$B$128,C410,SONDERZAHLUNGEN!$C$9:$C$128,A410,SONDERZAHLUNGEN!$H$9:$H$128,"OK",SONDERZAHLUNGEN!$F$9:$F$128,"Ja")))</x:f>
      </x:c>
      <x:c r="H410" s="88" t="str">
        <x:f>IF(C410="","",MIN(MAX(0,D410+E410-F410-G410),MAX(0,IF(MONATSBUDGET!$C$27="",0,MONATSBUDGET!$C$27)-SUM(F400:F419)-SUM(H400:H409))))</x:f>
      </x:c>
      <x:c r="I410" s="88" t="str">
        <x:f>IF(C410="","",MAX(0,ROUND(D410+E410-F410-G410-H410,2)))</x:f>
      </x:c>
      <x:c r="J410" s="88" t="str">
        <x:f>IF(C410="","",F410+G410+H410)</x:f>
      </x:c>
      <x:c r="K410" s="88" t="str">
        <x:f>IF(C410="","",MAX(0,SUMIFS(SONDERZAHLUNGEN!$E$9:$E$128,SONDERZAHLUNGEN!$B$9:$B$128,C410,SONDERZAHLUNGEN!$C$9:$C$128,A410,SONDERZAHLUNGEN!$H$9:$H$128,"OK",SONDERZAHLUNGEN!$F$9:$F$128,"Ja")-G410))</x:f>
      </x:c>
    </x:row>
    <x:row r="411" ht="19" customHeight="1">
      <x:c r="A411" s="90" t="n">
        <x:f>MONATSBUDGET!$A$27</x:f>
        <x:v>46813</x:v>
      </x:c>
      <x:c r="B411" t="n">
        <x:f>12</x:f>
        <x:v>12</x:v>
      </x:c>
      <x:c r="C411" t="str">
        <x:f>IF($N$20="","",$N$20)</x:f>
      </x:c>
      <x:c r="D411" s="88" t="str">
        <x:f>IF(C411="","",I391)</x:f>
      </x:c>
      <x:c r="E411" s="88" t="str">
        <x:f>IF(C411="","",ROUND(D411*$P$20/12,2))</x:f>
      </x:c>
      <x:c r="F411" s="88" t="str">
        <x:f>IF(C411="","",MIN(D411+E411,$Q$20))</x:f>
      </x:c>
      <x:c r="G411" s="88" t="str">
        <x:f>IF(C411="","",MIN(MAX(0,D411+E411-F411),SUMIFS(SONDERZAHLUNGEN!$E$9:$E$128,SONDERZAHLUNGEN!$B$9:$B$128,C411,SONDERZAHLUNGEN!$C$9:$C$128,A411,SONDERZAHLUNGEN!$H$9:$H$128,"OK",SONDERZAHLUNGEN!$F$9:$F$128,"Ja")))</x:f>
      </x:c>
      <x:c r="H411" s="88" t="str">
        <x:f>IF(C411="","",MIN(MAX(0,D411+E411-F411-G411),MAX(0,IF(MONATSBUDGET!$C$27="",0,MONATSBUDGET!$C$27)-SUM(F400:F419)-SUM(H400:H410))))</x:f>
      </x:c>
      <x:c r="I411" s="88" t="str">
        <x:f>IF(C411="","",MAX(0,ROUND(D411+E411-F411-G411-H411,2)))</x:f>
      </x:c>
      <x:c r="J411" s="88" t="str">
        <x:f>IF(C411="","",F411+G411+H411)</x:f>
      </x:c>
      <x:c r="K411" s="88" t="str">
        <x:f>IF(C411="","",MAX(0,SUMIFS(SONDERZAHLUNGEN!$E$9:$E$128,SONDERZAHLUNGEN!$B$9:$B$128,C411,SONDERZAHLUNGEN!$C$9:$C$128,A411,SONDERZAHLUNGEN!$H$9:$H$128,"OK",SONDERZAHLUNGEN!$F$9:$F$128,"Ja")-G411))</x:f>
      </x:c>
    </x:row>
    <x:row r="412" ht="19" customHeight="1">
      <x:c r="A412" s="90" t="n">
        <x:f>MONATSBUDGET!$A$27</x:f>
        <x:v>46813</x:v>
      </x:c>
      <x:c r="B412" t="n">
        <x:f>13</x:f>
        <x:v>13</x:v>
      </x:c>
      <x:c r="C412" t="str">
        <x:f>IF($N$21="","",$N$21)</x:f>
      </x:c>
      <x:c r="D412" s="88" t="str">
        <x:f>IF(C412="","",I392)</x:f>
      </x:c>
      <x:c r="E412" s="88" t="str">
        <x:f>IF(C412="","",ROUND(D412*$P$21/12,2))</x:f>
      </x:c>
      <x:c r="F412" s="88" t="str">
        <x:f>IF(C412="","",MIN(D412+E412,$Q$21))</x:f>
      </x:c>
      <x:c r="G412" s="88" t="str">
        <x:f>IF(C412="","",MIN(MAX(0,D412+E412-F412),SUMIFS(SONDERZAHLUNGEN!$E$9:$E$128,SONDERZAHLUNGEN!$B$9:$B$128,C412,SONDERZAHLUNGEN!$C$9:$C$128,A412,SONDERZAHLUNGEN!$H$9:$H$128,"OK",SONDERZAHLUNGEN!$F$9:$F$128,"Ja")))</x:f>
      </x:c>
      <x:c r="H412" s="88" t="str">
        <x:f>IF(C412="","",MIN(MAX(0,D412+E412-F412-G412),MAX(0,IF(MONATSBUDGET!$C$27="",0,MONATSBUDGET!$C$27)-SUM(F400:F419)-SUM(H400:H411))))</x:f>
      </x:c>
      <x:c r="I412" s="88" t="str">
        <x:f>IF(C412="","",MAX(0,ROUND(D412+E412-F412-G412-H412,2)))</x:f>
      </x:c>
      <x:c r="J412" s="88" t="str">
        <x:f>IF(C412="","",F412+G412+H412)</x:f>
      </x:c>
      <x:c r="K412" s="88" t="str">
        <x:f>IF(C412="","",MAX(0,SUMIFS(SONDERZAHLUNGEN!$E$9:$E$128,SONDERZAHLUNGEN!$B$9:$B$128,C412,SONDERZAHLUNGEN!$C$9:$C$128,A412,SONDERZAHLUNGEN!$H$9:$H$128,"OK",SONDERZAHLUNGEN!$F$9:$F$128,"Ja")-G412))</x:f>
      </x:c>
    </x:row>
    <x:row r="413" ht="19" customHeight="1">
      <x:c r="A413" s="90" t="n">
        <x:f>MONATSBUDGET!$A$27</x:f>
        <x:v>46813</x:v>
      </x:c>
      <x:c r="B413" t="n">
        <x:f>14</x:f>
        <x:v>14</x:v>
      </x:c>
      <x:c r="C413" t="str">
        <x:f>IF($N$22="","",$N$22)</x:f>
      </x:c>
      <x:c r="D413" s="88" t="str">
        <x:f>IF(C413="","",I393)</x:f>
      </x:c>
      <x:c r="E413" s="88" t="str">
        <x:f>IF(C413="","",ROUND(D413*$P$22/12,2))</x:f>
      </x:c>
      <x:c r="F413" s="88" t="str">
        <x:f>IF(C413="","",MIN(D413+E413,$Q$22))</x:f>
      </x:c>
      <x:c r="G413" s="88" t="str">
        <x:f>IF(C413="","",MIN(MAX(0,D413+E413-F413),SUMIFS(SONDERZAHLUNGEN!$E$9:$E$128,SONDERZAHLUNGEN!$B$9:$B$128,C413,SONDERZAHLUNGEN!$C$9:$C$128,A413,SONDERZAHLUNGEN!$H$9:$H$128,"OK",SONDERZAHLUNGEN!$F$9:$F$128,"Ja")))</x:f>
      </x:c>
      <x:c r="H413" s="88" t="str">
        <x:f>IF(C413="","",MIN(MAX(0,D413+E413-F413-G413),MAX(0,IF(MONATSBUDGET!$C$27="",0,MONATSBUDGET!$C$27)-SUM(F400:F419)-SUM(H400:H412))))</x:f>
      </x:c>
      <x:c r="I413" s="88" t="str">
        <x:f>IF(C413="","",MAX(0,ROUND(D413+E413-F413-G413-H413,2)))</x:f>
      </x:c>
      <x:c r="J413" s="88" t="str">
        <x:f>IF(C413="","",F413+G413+H413)</x:f>
      </x:c>
      <x:c r="K413" s="88" t="str">
        <x:f>IF(C413="","",MAX(0,SUMIFS(SONDERZAHLUNGEN!$E$9:$E$128,SONDERZAHLUNGEN!$B$9:$B$128,C413,SONDERZAHLUNGEN!$C$9:$C$128,A413,SONDERZAHLUNGEN!$H$9:$H$128,"OK",SONDERZAHLUNGEN!$F$9:$F$128,"Ja")-G413))</x:f>
      </x:c>
    </x:row>
    <x:row r="414" ht="19" customHeight="1">
      <x:c r="A414" s="90" t="n">
        <x:f>MONATSBUDGET!$A$27</x:f>
        <x:v>46813</x:v>
      </x:c>
      <x:c r="B414" t="n">
        <x:f>15</x:f>
        <x:v>15</x:v>
      </x:c>
      <x:c r="C414" t="str">
        <x:f>IF($N$23="","",$N$23)</x:f>
      </x:c>
      <x:c r="D414" s="88" t="str">
        <x:f>IF(C414="","",I394)</x:f>
      </x:c>
      <x:c r="E414" s="88" t="str">
        <x:f>IF(C414="","",ROUND(D414*$P$23/12,2))</x:f>
      </x:c>
      <x:c r="F414" s="88" t="str">
        <x:f>IF(C414="","",MIN(D414+E414,$Q$23))</x:f>
      </x:c>
      <x:c r="G414" s="88" t="str">
        <x:f>IF(C414="","",MIN(MAX(0,D414+E414-F414),SUMIFS(SONDERZAHLUNGEN!$E$9:$E$128,SONDERZAHLUNGEN!$B$9:$B$128,C414,SONDERZAHLUNGEN!$C$9:$C$128,A414,SONDERZAHLUNGEN!$H$9:$H$128,"OK",SONDERZAHLUNGEN!$F$9:$F$128,"Ja")))</x:f>
      </x:c>
      <x:c r="H414" s="88" t="str">
        <x:f>IF(C414="","",MIN(MAX(0,D414+E414-F414-G414),MAX(0,IF(MONATSBUDGET!$C$27="",0,MONATSBUDGET!$C$27)-SUM(F400:F419)-SUM(H400:H413))))</x:f>
      </x:c>
      <x:c r="I414" s="88" t="str">
        <x:f>IF(C414="","",MAX(0,ROUND(D414+E414-F414-G414-H414,2)))</x:f>
      </x:c>
      <x:c r="J414" s="88" t="str">
        <x:f>IF(C414="","",F414+G414+H414)</x:f>
      </x:c>
      <x:c r="K414" s="88" t="str">
        <x:f>IF(C414="","",MAX(0,SUMIFS(SONDERZAHLUNGEN!$E$9:$E$128,SONDERZAHLUNGEN!$B$9:$B$128,C414,SONDERZAHLUNGEN!$C$9:$C$128,A414,SONDERZAHLUNGEN!$H$9:$H$128,"OK",SONDERZAHLUNGEN!$F$9:$F$128,"Ja")-G414))</x:f>
      </x:c>
    </x:row>
    <x:row r="415" ht="19" customHeight="1">
      <x:c r="A415" s="90" t="n">
        <x:f>MONATSBUDGET!$A$27</x:f>
        <x:v>46813</x:v>
      </x:c>
      <x:c r="B415" t="n">
        <x:f>16</x:f>
        <x:v>16</x:v>
      </x:c>
      <x:c r="C415" t="str">
        <x:f>IF($N$24="","",$N$24)</x:f>
      </x:c>
      <x:c r="D415" s="88" t="str">
        <x:f>IF(C415="","",I395)</x:f>
      </x:c>
      <x:c r="E415" s="88" t="str">
        <x:f>IF(C415="","",ROUND(D415*$P$24/12,2))</x:f>
      </x:c>
      <x:c r="F415" s="88" t="str">
        <x:f>IF(C415="","",MIN(D415+E415,$Q$24))</x:f>
      </x:c>
      <x:c r="G415" s="88" t="str">
        <x:f>IF(C415="","",MIN(MAX(0,D415+E415-F415),SUMIFS(SONDERZAHLUNGEN!$E$9:$E$128,SONDERZAHLUNGEN!$B$9:$B$128,C415,SONDERZAHLUNGEN!$C$9:$C$128,A415,SONDERZAHLUNGEN!$H$9:$H$128,"OK",SONDERZAHLUNGEN!$F$9:$F$128,"Ja")))</x:f>
      </x:c>
      <x:c r="H415" s="88" t="str">
        <x:f>IF(C415="","",MIN(MAX(0,D415+E415-F415-G415),MAX(0,IF(MONATSBUDGET!$C$27="",0,MONATSBUDGET!$C$27)-SUM(F400:F419)-SUM(H400:H414))))</x:f>
      </x:c>
      <x:c r="I415" s="88" t="str">
        <x:f>IF(C415="","",MAX(0,ROUND(D415+E415-F415-G415-H415,2)))</x:f>
      </x:c>
      <x:c r="J415" s="88" t="str">
        <x:f>IF(C415="","",F415+G415+H415)</x:f>
      </x:c>
      <x:c r="K415" s="88" t="str">
        <x:f>IF(C415="","",MAX(0,SUMIFS(SONDERZAHLUNGEN!$E$9:$E$128,SONDERZAHLUNGEN!$B$9:$B$128,C415,SONDERZAHLUNGEN!$C$9:$C$128,A415,SONDERZAHLUNGEN!$H$9:$H$128,"OK",SONDERZAHLUNGEN!$F$9:$F$128,"Ja")-G415))</x:f>
      </x:c>
    </x:row>
    <x:row r="416" ht="19" customHeight="1">
      <x:c r="A416" s="90" t="n">
        <x:f>MONATSBUDGET!$A$27</x:f>
        <x:v>46813</x:v>
      </x:c>
      <x:c r="B416" t="n">
        <x:f>17</x:f>
        <x:v>17</x:v>
      </x:c>
      <x:c r="C416" t="str">
        <x:f>IF($N$25="","",$N$25)</x:f>
      </x:c>
      <x:c r="D416" s="88" t="str">
        <x:f>IF(C416="","",I396)</x:f>
      </x:c>
      <x:c r="E416" s="88" t="str">
        <x:f>IF(C416="","",ROUND(D416*$P$25/12,2))</x:f>
      </x:c>
      <x:c r="F416" s="88" t="str">
        <x:f>IF(C416="","",MIN(D416+E416,$Q$25))</x:f>
      </x:c>
      <x:c r="G416" s="88" t="str">
        <x:f>IF(C416="","",MIN(MAX(0,D416+E416-F416),SUMIFS(SONDERZAHLUNGEN!$E$9:$E$128,SONDERZAHLUNGEN!$B$9:$B$128,C416,SONDERZAHLUNGEN!$C$9:$C$128,A416,SONDERZAHLUNGEN!$H$9:$H$128,"OK",SONDERZAHLUNGEN!$F$9:$F$128,"Ja")))</x:f>
      </x:c>
      <x:c r="H416" s="88" t="str">
        <x:f>IF(C416="","",MIN(MAX(0,D416+E416-F416-G416),MAX(0,IF(MONATSBUDGET!$C$27="",0,MONATSBUDGET!$C$27)-SUM(F400:F419)-SUM(H400:H415))))</x:f>
      </x:c>
      <x:c r="I416" s="88" t="str">
        <x:f>IF(C416="","",MAX(0,ROUND(D416+E416-F416-G416-H416,2)))</x:f>
      </x:c>
      <x:c r="J416" s="88" t="str">
        <x:f>IF(C416="","",F416+G416+H416)</x:f>
      </x:c>
      <x:c r="K416" s="88" t="str">
        <x:f>IF(C416="","",MAX(0,SUMIFS(SONDERZAHLUNGEN!$E$9:$E$128,SONDERZAHLUNGEN!$B$9:$B$128,C416,SONDERZAHLUNGEN!$C$9:$C$128,A416,SONDERZAHLUNGEN!$H$9:$H$128,"OK",SONDERZAHLUNGEN!$F$9:$F$128,"Ja")-G416))</x:f>
      </x:c>
    </x:row>
    <x:row r="417" ht="19" customHeight="1">
      <x:c r="A417" s="90" t="n">
        <x:f>MONATSBUDGET!$A$27</x:f>
        <x:v>46813</x:v>
      </x:c>
      <x:c r="B417" t="n">
        <x:f>18</x:f>
        <x:v>18</x:v>
      </x:c>
      <x:c r="C417" t="str">
        <x:f>IF($N$26="","",$N$26)</x:f>
      </x:c>
      <x:c r="D417" s="88" t="str">
        <x:f>IF(C417="","",I397)</x:f>
      </x:c>
      <x:c r="E417" s="88" t="str">
        <x:f>IF(C417="","",ROUND(D417*$P$26/12,2))</x:f>
      </x:c>
      <x:c r="F417" s="88" t="str">
        <x:f>IF(C417="","",MIN(D417+E417,$Q$26))</x:f>
      </x:c>
      <x:c r="G417" s="88" t="str">
        <x:f>IF(C417="","",MIN(MAX(0,D417+E417-F417),SUMIFS(SONDERZAHLUNGEN!$E$9:$E$128,SONDERZAHLUNGEN!$B$9:$B$128,C417,SONDERZAHLUNGEN!$C$9:$C$128,A417,SONDERZAHLUNGEN!$H$9:$H$128,"OK",SONDERZAHLUNGEN!$F$9:$F$128,"Ja")))</x:f>
      </x:c>
      <x:c r="H417" s="88" t="str">
        <x:f>IF(C417="","",MIN(MAX(0,D417+E417-F417-G417),MAX(0,IF(MONATSBUDGET!$C$27="",0,MONATSBUDGET!$C$27)-SUM(F400:F419)-SUM(H400:H416))))</x:f>
      </x:c>
      <x:c r="I417" s="88" t="str">
        <x:f>IF(C417="","",MAX(0,ROUND(D417+E417-F417-G417-H417,2)))</x:f>
      </x:c>
      <x:c r="J417" s="88" t="str">
        <x:f>IF(C417="","",F417+G417+H417)</x:f>
      </x:c>
      <x:c r="K417" s="88" t="str">
        <x:f>IF(C417="","",MAX(0,SUMIFS(SONDERZAHLUNGEN!$E$9:$E$128,SONDERZAHLUNGEN!$B$9:$B$128,C417,SONDERZAHLUNGEN!$C$9:$C$128,A417,SONDERZAHLUNGEN!$H$9:$H$128,"OK",SONDERZAHLUNGEN!$F$9:$F$128,"Ja")-G417))</x:f>
      </x:c>
    </x:row>
    <x:row r="418" ht="19" customHeight="1">
      <x:c r="A418" s="90" t="n">
        <x:f>MONATSBUDGET!$A$27</x:f>
        <x:v>46813</x:v>
      </x:c>
      <x:c r="B418" t="n">
        <x:f>19</x:f>
        <x:v>19</x:v>
      </x:c>
      <x:c r="C418" t="str">
        <x:f>IF($N$27="","",$N$27)</x:f>
      </x:c>
      <x:c r="D418" s="88" t="str">
        <x:f>IF(C418="","",I398)</x:f>
      </x:c>
      <x:c r="E418" s="88" t="str">
        <x:f>IF(C418="","",ROUND(D418*$P$27/12,2))</x:f>
      </x:c>
      <x:c r="F418" s="88" t="str">
        <x:f>IF(C418="","",MIN(D418+E418,$Q$27))</x:f>
      </x:c>
      <x:c r="G418" s="88" t="str">
        <x:f>IF(C418="","",MIN(MAX(0,D418+E418-F418),SUMIFS(SONDERZAHLUNGEN!$E$9:$E$128,SONDERZAHLUNGEN!$B$9:$B$128,C418,SONDERZAHLUNGEN!$C$9:$C$128,A418,SONDERZAHLUNGEN!$H$9:$H$128,"OK",SONDERZAHLUNGEN!$F$9:$F$128,"Ja")))</x:f>
      </x:c>
      <x:c r="H418" s="88" t="str">
        <x:f>IF(C418="","",MIN(MAX(0,D418+E418-F418-G418),MAX(0,IF(MONATSBUDGET!$C$27="",0,MONATSBUDGET!$C$27)-SUM(F400:F419)-SUM(H400:H417))))</x:f>
      </x:c>
      <x:c r="I418" s="88" t="str">
        <x:f>IF(C418="","",MAX(0,ROUND(D418+E418-F418-G418-H418,2)))</x:f>
      </x:c>
      <x:c r="J418" s="88" t="str">
        <x:f>IF(C418="","",F418+G418+H418)</x:f>
      </x:c>
      <x:c r="K418" s="88" t="str">
        <x:f>IF(C418="","",MAX(0,SUMIFS(SONDERZAHLUNGEN!$E$9:$E$128,SONDERZAHLUNGEN!$B$9:$B$128,C418,SONDERZAHLUNGEN!$C$9:$C$128,A418,SONDERZAHLUNGEN!$H$9:$H$128,"OK",SONDERZAHLUNGEN!$F$9:$F$128,"Ja")-G418))</x:f>
      </x:c>
    </x:row>
    <x:row r="419" ht="19" customHeight="1">
      <x:c r="A419" s="90" t="n">
        <x:f>MONATSBUDGET!$A$27</x:f>
        <x:v>46813</x:v>
      </x:c>
      <x:c r="B419" t="n">
        <x:f>20</x:f>
        <x:v>20</x:v>
      </x:c>
      <x:c r="C419" t="str">
        <x:f>IF($N$28="","",$N$28)</x:f>
      </x:c>
      <x:c r="D419" s="88" t="str">
        <x:f>IF(C419="","",I399)</x:f>
      </x:c>
      <x:c r="E419" s="88" t="str">
        <x:f>IF(C419="","",ROUND(D419*$P$28/12,2))</x:f>
      </x:c>
      <x:c r="F419" s="88" t="str">
        <x:f>IF(C419="","",MIN(D419+E419,$Q$28))</x:f>
      </x:c>
      <x:c r="G419" s="88" t="str">
        <x:f>IF(C419="","",MIN(MAX(0,D419+E419-F419),SUMIFS(SONDERZAHLUNGEN!$E$9:$E$128,SONDERZAHLUNGEN!$B$9:$B$128,C419,SONDERZAHLUNGEN!$C$9:$C$128,A419,SONDERZAHLUNGEN!$H$9:$H$128,"OK",SONDERZAHLUNGEN!$F$9:$F$128,"Ja")))</x:f>
      </x:c>
      <x:c r="H419" s="88" t="str">
        <x:f>IF(C419="","",MIN(MAX(0,D419+E419-F419-G419),MAX(0,IF(MONATSBUDGET!$C$27="",0,MONATSBUDGET!$C$27)-SUM(F400:F419)-SUM(H400:H418))))</x:f>
      </x:c>
      <x:c r="I419" s="88" t="str">
        <x:f>IF(C419="","",MAX(0,ROUND(D419+E419-F419-G419-H419,2)))</x:f>
      </x:c>
      <x:c r="J419" s="88" t="str">
        <x:f>IF(C419="","",F419+G419+H419)</x:f>
      </x:c>
      <x:c r="K419" s="88" t="str">
        <x:f>IF(C419="","",MAX(0,SUMIFS(SONDERZAHLUNGEN!$E$9:$E$128,SONDERZAHLUNGEN!$B$9:$B$128,C419,SONDERZAHLUNGEN!$C$9:$C$128,A419,SONDERZAHLUNGEN!$H$9:$H$128,"OK",SONDERZAHLUNGEN!$F$9:$F$128,"Ja")-G419))</x:f>
      </x:c>
    </x:row>
    <x:row r="420" ht="19" customHeight="1">
      <x:c r="A420" s="90" t="n">
        <x:f>MONATSBUDGET!$A$28</x:f>
        <x:v>46844</x:v>
      </x:c>
      <x:c r="B420" t="n">
        <x:f>1</x:f>
        <x:v>1</x:v>
      </x:c>
      <x:c r="C420" t="str">
        <x:f>IF($N$9="","",$N$9)</x:f>
      </x:c>
      <x:c r="D420" s="88" t="str">
        <x:f>IF(C420="","",I400)</x:f>
      </x:c>
      <x:c r="E420" s="88" t="str">
        <x:f>IF(C420="","",ROUND(D420*$P$9/12,2))</x:f>
      </x:c>
      <x:c r="F420" s="88" t="str">
        <x:f>IF(C420="","",MIN(D420+E420,$Q$9))</x:f>
      </x:c>
      <x:c r="G420" s="88" t="str">
        <x:f>IF(C420="","",MIN(MAX(0,D420+E420-F420),SUMIFS(SONDERZAHLUNGEN!$E$9:$E$128,SONDERZAHLUNGEN!$B$9:$B$128,C420,SONDERZAHLUNGEN!$C$9:$C$128,A420,SONDERZAHLUNGEN!$H$9:$H$128,"OK",SONDERZAHLUNGEN!$F$9:$F$128,"Ja")))</x:f>
      </x:c>
      <x:c r="H420" s="88" t="str">
        <x:f>IF(C420="","",MIN(MAX(0,D420+E420-F420-G420),MAX(0,IF(MONATSBUDGET!$C$28="",0,MONATSBUDGET!$C$28)-SUM(F420:F439)-0)))</x:f>
      </x:c>
      <x:c r="I420" s="88" t="str">
        <x:f>IF(C420="","",MAX(0,ROUND(D420+E420-F420-G420-H420,2)))</x:f>
      </x:c>
      <x:c r="J420" s="88" t="str">
        <x:f>IF(C420="","",F420+G420+H420)</x:f>
      </x:c>
      <x:c r="K420" s="88" t="str">
        <x:f>IF(C420="","",MAX(0,SUMIFS(SONDERZAHLUNGEN!$E$9:$E$128,SONDERZAHLUNGEN!$B$9:$B$128,C420,SONDERZAHLUNGEN!$C$9:$C$128,A420,SONDERZAHLUNGEN!$H$9:$H$128,"OK",SONDERZAHLUNGEN!$F$9:$F$128,"Ja")-G420))</x:f>
      </x:c>
    </x:row>
    <x:row r="421" ht="19" customHeight="1">
      <x:c r="A421" s="90" t="n">
        <x:f>MONATSBUDGET!$A$28</x:f>
        <x:v>46844</x:v>
      </x:c>
      <x:c r="B421" t="n">
        <x:f>2</x:f>
        <x:v>2</x:v>
      </x:c>
      <x:c r="C421" t="str">
        <x:f>IF($N$10="","",$N$10)</x:f>
      </x:c>
      <x:c r="D421" s="88" t="str">
        <x:f>IF(C421="","",I401)</x:f>
      </x:c>
      <x:c r="E421" s="88" t="str">
        <x:f>IF(C421="","",ROUND(D421*$P$10/12,2))</x:f>
      </x:c>
      <x:c r="F421" s="88" t="str">
        <x:f>IF(C421="","",MIN(D421+E421,$Q$10))</x:f>
      </x:c>
      <x:c r="G421" s="88" t="str">
        <x:f>IF(C421="","",MIN(MAX(0,D421+E421-F421),SUMIFS(SONDERZAHLUNGEN!$E$9:$E$128,SONDERZAHLUNGEN!$B$9:$B$128,C421,SONDERZAHLUNGEN!$C$9:$C$128,A421,SONDERZAHLUNGEN!$H$9:$H$128,"OK",SONDERZAHLUNGEN!$F$9:$F$128,"Ja")))</x:f>
      </x:c>
      <x:c r="H421" s="88" t="str">
        <x:f>IF(C421="","",MIN(MAX(0,D421+E421-F421-G421),MAX(0,IF(MONATSBUDGET!$C$28="",0,MONATSBUDGET!$C$28)-SUM(F420:F439)-SUM(H420:H420))))</x:f>
      </x:c>
      <x:c r="I421" s="88" t="str">
        <x:f>IF(C421="","",MAX(0,ROUND(D421+E421-F421-G421-H421,2)))</x:f>
      </x:c>
      <x:c r="J421" s="88" t="str">
        <x:f>IF(C421="","",F421+G421+H421)</x:f>
      </x:c>
      <x:c r="K421" s="88" t="str">
        <x:f>IF(C421="","",MAX(0,SUMIFS(SONDERZAHLUNGEN!$E$9:$E$128,SONDERZAHLUNGEN!$B$9:$B$128,C421,SONDERZAHLUNGEN!$C$9:$C$128,A421,SONDERZAHLUNGEN!$H$9:$H$128,"OK",SONDERZAHLUNGEN!$F$9:$F$128,"Ja")-G421))</x:f>
      </x:c>
    </x:row>
    <x:row r="422" ht="19" customHeight="1">
      <x:c r="A422" s="90" t="n">
        <x:f>MONATSBUDGET!$A$28</x:f>
        <x:v>46844</x:v>
      </x:c>
      <x:c r="B422" t="n">
        <x:f>3</x:f>
        <x:v>3</x:v>
      </x:c>
      <x:c r="C422" t="str">
        <x:f>IF($N$11="","",$N$11)</x:f>
      </x:c>
      <x:c r="D422" s="88" t="str">
        <x:f>IF(C422="","",I402)</x:f>
      </x:c>
      <x:c r="E422" s="88" t="str">
        <x:f>IF(C422="","",ROUND(D422*$P$11/12,2))</x:f>
      </x:c>
      <x:c r="F422" s="88" t="str">
        <x:f>IF(C422="","",MIN(D422+E422,$Q$11))</x:f>
      </x:c>
      <x:c r="G422" s="88" t="str">
        <x:f>IF(C422="","",MIN(MAX(0,D422+E422-F422),SUMIFS(SONDERZAHLUNGEN!$E$9:$E$128,SONDERZAHLUNGEN!$B$9:$B$128,C422,SONDERZAHLUNGEN!$C$9:$C$128,A422,SONDERZAHLUNGEN!$H$9:$H$128,"OK",SONDERZAHLUNGEN!$F$9:$F$128,"Ja")))</x:f>
      </x:c>
      <x:c r="H422" s="88" t="str">
        <x:f>IF(C422="","",MIN(MAX(0,D422+E422-F422-G422),MAX(0,IF(MONATSBUDGET!$C$28="",0,MONATSBUDGET!$C$28)-SUM(F420:F439)-SUM(H420:H421))))</x:f>
      </x:c>
      <x:c r="I422" s="88" t="str">
        <x:f>IF(C422="","",MAX(0,ROUND(D422+E422-F422-G422-H422,2)))</x:f>
      </x:c>
      <x:c r="J422" s="88" t="str">
        <x:f>IF(C422="","",F422+G422+H422)</x:f>
      </x:c>
      <x:c r="K422" s="88" t="str">
        <x:f>IF(C422="","",MAX(0,SUMIFS(SONDERZAHLUNGEN!$E$9:$E$128,SONDERZAHLUNGEN!$B$9:$B$128,C422,SONDERZAHLUNGEN!$C$9:$C$128,A422,SONDERZAHLUNGEN!$H$9:$H$128,"OK",SONDERZAHLUNGEN!$F$9:$F$128,"Ja")-G422))</x:f>
      </x:c>
    </x:row>
    <x:row r="423" ht="19" customHeight="1">
      <x:c r="A423" s="90" t="n">
        <x:f>MONATSBUDGET!$A$28</x:f>
        <x:v>46844</x:v>
      </x:c>
      <x:c r="B423" t="n">
        <x:f>4</x:f>
        <x:v>4</x:v>
      </x:c>
      <x:c r="C423" t="str">
        <x:f>IF($N$12="","",$N$12)</x:f>
      </x:c>
      <x:c r="D423" s="88" t="str">
        <x:f>IF(C423="","",I403)</x:f>
      </x:c>
      <x:c r="E423" s="88" t="str">
        <x:f>IF(C423="","",ROUND(D423*$P$12/12,2))</x:f>
      </x:c>
      <x:c r="F423" s="88" t="str">
        <x:f>IF(C423="","",MIN(D423+E423,$Q$12))</x:f>
      </x:c>
      <x:c r="G423" s="88" t="str">
        <x:f>IF(C423="","",MIN(MAX(0,D423+E423-F423),SUMIFS(SONDERZAHLUNGEN!$E$9:$E$128,SONDERZAHLUNGEN!$B$9:$B$128,C423,SONDERZAHLUNGEN!$C$9:$C$128,A423,SONDERZAHLUNGEN!$H$9:$H$128,"OK",SONDERZAHLUNGEN!$F$9:$F$128,"Ja")))</x:f>
      </x:c>
      <x:c r="H423" s="88" t="str">
        <x:f>IF(C423="","",MIN(MAX(0,D423+E423-F423-G423),MAX(0,IF(MONATSBUDGET!$C$28="",0,MONATSBUDGET!$C$28)-SUM(F420:F439)-SUM(H420:H422))))</x:f>
      </x:c>
      <x:c r="I423" s="88" t="str">
        <x:f>IF(C423="","",MAX(0,ROUND(D423+E423-F423-G423-H423,2)))</x:f>
      </x:c>
      <x:c r="J423" s="88" t="str">
        <x:f>IF(C423="","",F423+G423+H423)</x:f>
      </x:c>
      <x:c r="K423" s="88" t="str">
        <x:f>IF(C423="","",MAX(0,SUMIFS(SONDERZAHLUNGEN!$E$9:$E$128,SONDERZAHLUNGEN!$B$9:$B$128,C423,SONDERZAHLUNGEN!$C$9:$C$128,A423,SONDERZAHLUNGEN!$H$9:$H$128,"OK",SONDERZAHLUNGEN!$F$9:$F$128,"Ja")-G423))</x:f>
      </x:c>
    </x:row>
    <x:row r="424" ht="19" customHeight="1">
      <x:c r="A424" s="90" t="n">
        <x:f>MONATSBUDGET!$A$28</x:f>
        <x:v>46844</x:v>
      </x:c>
      <x:c r="B424" t="n">
        <x:f>5</x:f>
        <x:v>5</x:v>
      </x:c>
      <x:c r="C424" t="str">
        <x:f>IF($N$13="","",$N$13)</x:f>
      </x:c>
      <x:c r="D424" s="88" t="str">
        <x:f>IF(C424="","",I404)</x:f>
      </x:c>
      <x:c r="E424" s="88" t="str">
        <x:f>IF(C424="","",ROUND(D424*$P$13/12,2))</x:f>
      </x:c>
      <x:c r="F424" s="88" t="str">
        <x:f>IF(C424="","",MIN(D424+E424,$Q$13))</x:f>
      </x:c>
      <x:c r="G424" s="88" t="str">
        <x:f>IF(C424="","",MIN(MAX(0,D424+E424-F424),SUMIFS(SONDERZAHLUNGEN!$E$9:$E$128,SONDERZAHLUNGEN!$B$9:$B$128,C424,SONDERZAHLUNGEN!$C$9:$C$128,A424,SONDERZAHLUNGEN!$H$9:$H$128,"OK",SONDERZAHLUNGEN!$F$9:$F$128,"Ja")))</x:f>
      </x:c>
      <x:c r="H424" s="88" t="str">
        <x:f>IF(C424="","",MIN(MAX(0,D424+E424-F424-G424),MAX(0,IF(MONATSBUDGET!$C$28="",0,MONATSBUDGET!$C$28)-SUM(F420:F439)-SUM(H420:H423))))</x:f>
      </x:c>
      <x:c r="I424" s="88" t="str">
        <x:f>IF(C424="","",MAX(0,ROUND(D424+E424-F424-G424-H424,2)))</x:f>
      </x:c>
      <x:c r="J424" s="88" t="str">
        <x:f>IF(C424="","",F424+G424+H424)</x:f>
      </x:c>
      <x:c r="K424" s="88" t="str">
        <x:f>IF(C424="","",MAX(0,SUMIFS(SONDERZAHLUNGEN!$E$9:$E$128,SONDERZAHLUNGEN!$B$9:$B$128,C424,SONDERZAHLUNGEN!$C$9:$C$128,A424,SONDERZAHLUNGEN!$H$9:$H$128,"OK",SONDERZAHLUNGEN!$F$9:$F$128,"Ja")-G424))</x:f>
      </x:c>
    </x:row>
    <x:row r="425" ht="19" customHeight="1">
      <x:c r="A425" s="90" t="n">
        <x:f>MONATSBUDGET!$A$28</x:f>
        <x:v>46844</x:v>
      </x:c>
      <x:c r="B425" t="n">
        <x:f>6</x:f>
        <x:v>6</x:v>
      </x:c>
      <x:c r="C425" t="str">
        <x:f>IF($N$14="","",$N$14)</x:f>
      </x:c>
      <x:c r="D425" s="88" t="str">
        <x:f>IF(C425="","",I405)</x:f>
      </x:c>
      <x:c r="E425" s="88" t="str">
        <x:f>IF(C425="","",ROUND(D425*$P$14/12,2))</x:f>
      </x:c>
      <x:c r="F425" s="88" t="str">
        <x:f>IF(C425="","",MIN(D425+E425,$Q$14))</x:f>
      </x:c>
      <x:c r="G425" s="88" t="str">
        <x:f>IF(C425="","",MIN(MAX(0,D425+E425-F425),SUMIFS(SONDERZAHLUNGEN!$E$9:$E$128,SONDERZAHLUNGEN!$B$9:$B$128,C425,SONDERZAHLUNGEN!$C$9:$C$128,A425,SONDERZAHLUNGEN!$H$9:$H$128,"OK",SONDERZAHLUNGEN!$F$9:$F$128,"Ja")))</x:f>
      </x:c>
      <x:c r="H425" s="88" t="str">
        <x:f>IF(C425="","",MIN(MAX(0,D425+E425-F425-G425),MAX(0,IF(MONATSBUDGET!$C$28="",0,MONATSBUDGET!$C$28)-SUM(F420:F439)-SUM(H420:H424))))</x:f>
      </x:c>
      <x:c r="I425" s="88" t="str">
        <x:f>IF(C425="","",MAX(0,ROUND(D425+E425-F425-G425-H425,2)))</x:f>
      </x:c>
      <x:c r="J425" s="88" t="str">
        <x:f>IF(C425="","",F425+G425+H425)</x:f>
      </x:c>
      <x:c r="K425" s="88" t="str">
        <x:f>IF(C425="","",MAX(0,SUMIFS(SONDERZAHLUNGEN!$E$9:$E$128,SONDERZAHLUNGEN!$B$9:$B$128,C425,SONDERZAHLUNGEN!$C$9:$C$128,A425,SONDERZAHLUNGEN!$H$9:$H$128,"OK",SONDERZAHLUNGEN!$F$9:$F$128,"Ja")-G425))</x:f>
      </x:c>
    </x:row>
    <x:row r="426" ht="19" customHeight="1">
      <x:c r="A426" s="90" t="n">
        <x:f>MONATSBUDGET!$A$28</x:f>
        <x:v>46844</x:v>
      </x:c>
      <x:c r="B426" t="n">
        <x:f>7</x:f>
        <x:v>7</x:v>
      </x:c>
      <x:c r="C426" t="str">
        <x:f>IF($N$15="","",$N$15)</x:f>
      </x:c>
      <x:c r="D426" s="88" t="str">
        <x:f>IF(C426="","",I406)</x:f>
      </x:c>
      <x:c r="E426" s="88" t="str">
        <x:f>IF(C426="","",ROUND(D426*$P$15/12,2))</x:f>
      </x:c>
      <x:c r="F426" s="88" t="str">
        <x:f>IF(C426="","",MIN(D426+E426,$Q$15))</x:f>
      </x:c>
      <x:c r="G426" s="88" t="str">
        <x:f>IF(C426="","",MIN(MAX(0,D426+E426-F426),SUMIFS(SONDERZAHLUNGEN!$E$9:$E$128,SONDERZAHLUNGEN!$B$9:$B$128,C426,SONDERZAHLUNGEN!$C$9:$C$128,A426,SONDERZAHLUNGEN!$H$9:$H$128,"OK",SONDERZAHLUNGEN!$F$9:$F$128,"Ja")))</x:f>
      </x:c>
      <x:c r="H426" s="88" t="str">
        <x:f>IF(C426="","",MIN(MAX(0,D426+E426-F426-G426),MAX(0,IF(MONATSBUDGET!$C$28="",0,MONATSBUDGET!$C$28)-SUM(F420:F439)-SUM(H420:H425))))</x:f>
      </x:c>
      <x:c r="I426" s="88" t="str">
        <x:f>IF(C426="","",MAX(0,ROUND(D426+E426-F426-G426-H426,2)))</x:f>
      </x:c>
      <x:c r="J426" s="88" t="str">
        <x:f>IF(C426="","",F426+G426+H426)</x:f>
      </x:c>
      <x:c r="K426" s="88" t="str">
        <x:f>IF(C426="","",MAX(0,SUMIFS(SONDERZAHLUNGEN!$E$9:$E$128,SONDERZAHLUNGEN!$B$9:$B$128,C426,SONDERZAHLUNGEN!$C$9:$C$128,A426,SONDERZAHLUNGEN!$H$9:$H$128,"OK",SONDERZAHLUNGEN!$F$9:$F$128,"Ja")-G426))</x:f>
      </x:c>
    </x:row>
    <x:row r="427" ht="19" customHeight="1">
      <x:c r="A427" s="90" t="n">
        <x:f>MONATSBUDGET!$A$28</x:f>
        <x:v>46844</x:v>
      </x:c>
      <x:c r="B427" t="n">
        <x:f>8</x:f>
        <x:v>8</x:v>
      </x:c>
      <x:c r="C427" t="str">
        <x:f>IF($N$16="","",$N$16)</x:f>
      </x:c>
      <x:c r="D427" s="88" t="str">
        <x:f>IF(C427="","",I407)</x:f>
      </x:c>
      <x:c r="E427" s="88" t="str">
        <x:f>IF(C427="","",ROUND(D427*$P$16/12,2))</x:f>
      </x:c>
      <x:c r="F427" s="88" t="str">
        <x:f>IF(C427="","",MIN(D427+E427,$Q$16))</x:f>
      </x:c>
      <x:c r="G427" s="88" t="str">
        <x:f>IF(C427="","",MIN(MAX(0,D427+E427-F427),SUMIFS(SONDERZAHLUNGEN!$E$9:$E$128,SONDERZAHLUNGEN!$B$9:$B$128,C427,SONDERZAHLUNGEN!$C$9:$C$128,A427,SONDERZAHLUNGEN!$H$9:$H$128,"OK",SONDERZAHLUNGEN!$F$9:$F$128,"Ja")))</x:f>
      </x:c>
      <x:c r="H427" s="88" t="str">
        <x:f>IF(C427="","",MIN(MAX(0,D427+E427-F427-G427),MAX(0,IF(MONATSBUDGET!$C$28="",0,MONATSBUDGET!$C$28)-SUM(F420:F439)-SUM(H420:H426))))</x:f>
      </x:c>
      <x:c r="I427" s="88" t="str">
        <x:f>IF(C427="","",MAX(0,ROUND(D427+E427-F427-G427-H427,2)))</x:f>
      </x:c>
      <x:c r="J427" s="88" t="str">
        <x:f>IF(C427="","",F427+G427+H427)</x:f>
      </x:c>
      <x:c r="K427" s="88" t="str">
        <x:f>IF(C427="","",MAX(0,SUMIFS(SONDERZAHLUNGEN!$E$9:$E$128,SONDERZAHLUNGEN!$B$9:$B$128,C427,SONDERZAHLUNGEN!$C$9:$C$128,A427,SONDERZAHLUNGEN!$H$9:$H$128,"OK",SONDERZAHLUNGEN!$F$9:$F$128,"Ja")-G427))</x:f>
      </x:c>
    </x:row>
    <x:row r="428" ht="19" customHeight="1">
      <x:c r="A428" s="90" t="n">
        <x:f>MONATSBUDGET!$A$28</x:f>
        <x:v>46844</x:v>
      </x:c>
      <x:c r="B428" t="n">
        <x:f>9</x:f>
        <x:v>9</x:v>
      </x:c>
      <x:c r="C428" t="str">
        <x:f>IF($N$17="","",$N$17)</x:f>
      </x:c>
      <x:c r="D428" s="88" t="str">
        <x:f>IF(C428="","",I408)</x:f>
      </x:c>
      <x:c r="E428" s="88" t="str">
        <x:f>IF(C428="","",ROUND(D428*$P$17/12,2))</x:f>
      </x:c>
      <x:c r="F428" s="88" t="str">
        <x:f>IF(C428="","",MIN(D428+E428,$Q$17))</x:f>
      </x:c>
      <x:c r="G428" s="88" t="str">
        <x:f>IF(C428="","",MIN(MAX(0,D428+E428-F428),SUMIFS(SONDERZAHLUNGEN!$E$9:$E$128,SONDERZAHLUNGEN!$B$9:$B$128,C428,SONDERZAHLUNGEN!$C$9:$C$128,A428,SONDERZAHLUNGEN!$H$9:$H$128,"OK",SONDERZAHLUNGEN!$F$9:$F$128,"Ja")))</x:f>
      </x:c>
      <x:c r="H428" s="88" t="str">
        <x:f>IF(C428="","",MIN(MAX(0,D428+E428-F428-G428),MAX(0,IF(MONATSBUDGET!$C$28="",0,MONATSBUDGET!$C$28)-SUM(F420:F439)-SUM(H420:H427))))</x:f>
      </x:c>
      <x:c r="I428" s="88" t="str">
        <x:f>IF(C428="","",MAX(0,ROUND(D428+E428-F428-G428-H428,2)))</x:f>
      </x:c>
      <x:c r="J428" s="88" t="str">
        <x:f>IF(C428="","",F428+G428+H428)</x:f>
      </x:c>
      <x:c r="K428" s="88" t="str">
        <x:f>IF(C428="","",MAX(0,SUMIFS(SONDERZAHLUNGEN!$E$9:$E$128,SONDERZAHLUNGEN!$B$9:$B$128,C428,SONDERZAHLUNGEN!$C$9:$C$128,A428,SONDERZAHLUNGEN!$H$9:$H$128,"OK",SONDERZAHLUNGEN!$F$9:$F$128,"Ja")-G428))</x:f>
      </x:c>
    </x:row>
    <x:row r="429" ht="19" customHeight="1">
      <x:c r="A429" s="90" t="n">
        <x:f>MONATSBUDGET!$A$28</x:f>
        <x:v>46844</x:v>
      </x:c>
      <x:c r="B429" t="n">
        <x:f>10</x:f>
        <x:v>10</x:v>
      </x:c>
      <x:c r="C429" t="str">
        <x:f>IF($N$18="","",$N$18)</x:f>
      </x:c>
      <x:c r="D429" s="88" t="str">
        <x:f>IF(C429="","",I409)</x:f>
      </x:c>
      <x:c r="E429" s="88" t="str">
        <x:f>IF(C429="","",ROUND(D429*$P$18/12,2))</x:f>
      </x:c>
      <x:c r="F429" s="88" t="str">
        <x:f>IF(C429="","",MIN(D429+E429,$Q$18))</x:f>
      </x:c>
      <x:c r="G429" s="88" t="str">
        <x:f>IF(C429="","",MIN(MAX(0,D429+E429-F429),SUMIFS(SONDERZAHLUNGEN!$E$9:$E$128,SONDERZAHLUNGEN!$B$9:$B$128,C429,SONDERZAHLUNGEN!$C$9:$C$128,A429,SONDERZAHLUNGEN!$H$9:$H$128,"OK",SONDERZAHLUNGEN!$F$9:$F$128,"Ja")))</x:f>
      </x:c>
      <x:c r="H429" s="88" t="str">
        <x:f>IF(C429="","",MIN(MAX(0,D429+E429-F429-G429),MAX(0,IF(MONATSBUDGET!$C$28="",0,MONATSBUDGET!$C$28)-SUM(F420:F439)-SUM(H420:H428))))</x:f>
      </x:c>
      <x:c r="I429" s="88" t="str">
        <x:f>IF(C429="","",MAX(0,ROUND(D429+E429-F429-G429-H429,2)))</x:f>
      </x:c>
      <x:c r="J429" s="88" t="str">
        <x:f>IF(C429="","",F429+G429+H429)</x:f>
      </x:c>
      <x:c r="K429" s="88" t="str">
        <x:f>IF(C429="","",MAX(0,SUMIFS(SONDERZAHLUNGEN!$E$9:$E$128,SONDERZAHLUNGEN!$B$9:$B$128,C429,SONDERZAHLUNGEN!$C$9:$C$128,A429,SONDERZAHLUNGEN!$H$9:$H$128,"OK",SONDERZAHLUNGEN!$F$9:$F$128,"Ja")-G429))</x:f>
      </x:c>
    </x:row>
    <x:row r="430" ht="19" customHeight="1">
      <x:c r="A430" s="90" t="n">
        <x:f>MONATSBUDGET!$A$28</x:f>
        <x:v>46844</x:v>
      </x:c>
      <x:c r="B430" t="n">
        <x:f>11</x:f>
        <x:v>11</x:v>
      </x:c>
      <x:c r="C430" t="str">
        <x:f>IF($N$19="","",$N$19)</x:f>
      </x:c>
      <x:c r="D430" s="88" t="str">
        <x:f>IF(C430="","",I410)</x:f>
      </x:c>
      <x:c r="E430" s="88" t="str">
        <x:f>IF(C430="","",ROUND(D430*$P$19/12,2))</x:f>
      </x:c>
      <x:c r="F430" s="88" t="str">
        <x:f>IF(C430="","",MIN(D430+E430,$Q$19))</x:f>
      </x:c>
      <x:c r="G430" s="88" t="str">
        <x:f>IF(C430="","",MIN(MAX(0,D430+E430-F430),SUMIFS(SONDERZAHLUNGEN!$E$9:$E$128,SONDERZAHLUNGEN!$B$9:$B$128,C430,SONDERZAHLUNGEN!$C$9:$C$128,A430,SONDERZAHLUNGEN!$H$9:$H$128,"OK",SONDERZAHLUNGEN!$F$9:$F$128,"Ja")))</x:f>
      </x:c>
      <x:c r="H430" s="88" t="str">
        <x:f>IF(C430="","",MIN(MAX(0,D430+E430-F430-G430),MAX(0,IF(MONATSBUDGET!$C$28="",0,MONATSBUDGET!$C$28)-SUM(F420:F439)-SUM(H420:H429))))</x:f>
      </x:c>
      <x:c r="I430" s="88" t="str">
        <x:f>IF(C430="","",MAX(0,ROUND(D430+E430-F430-G430-H430,2)))</x:f>
      </x:c>
      <x:c r="J430" s="88" t="str">
        <x:f>IF(C430="","",F430+G430+H430)</x:f>
      </x:c>
      <x:c r="K430" s="88" t="str">
        <x:f>IF(C430="","",MAX(0,SUMIFS(SONDERZAHLUNGEN!$E$9:$E$128,SONDERZAHLUNGEN!$B$9:$B$128,C430,SONDERZAHLUNGEN!$C$9:$C$128,A430,SONDERZAHLUNGEN!$H$9:$H$128,"OK",SONDERZAHLUNGEN!$F$9:$F$128,"Ja")-G430))</x:f>
      </x:c>
    </x:row>
    <x:row r="431" ht="19" customHeight="1">
      <x:c r="A431" s="90" t="n">
        <x:f>MONATSBUDGET!$A$28</x:f>
        <x:v>46844</x:v>
      </x:c>
      <x:c r="B431" t="n">
        <x:f>12</x:f>
        <x:v>12</x:v>
      </x:c>
      <x:c r="C431" t="str">
        <x:f>IF($N$20="","",$N$20)</x:f>
      </x:c>
      <x:c r="D431" s="88" t="str">
        <x:f>IF(C431="","",I411)</x:f>
      </x:c>
      <x:c r="E431" s="88" t="str">
        <x:f>IF(C431="","",ROUND(D431*$P$20/12,2))</x:f>
      </x:c>
      <x:c r="F431" s="88" t="str">
        <x:f>IF(C431="","",MIN(D431+E431,$Q$20))</x:f>
      </x:c>
      <x:c r="G431" s="88" t="str">
        <x:f>IF(C431="","",MIN(MAX(0,D431+E431-F431),SUMIFS(SONDERZAHLUNGEN!$E$9:$E$128,SONDERZAHLUNGEN!$B$9:$B$128,C431,SONDERZAHLUNGEN!$C$9:$C$128,A431,SONDERZAHLUNGEN!$H$9:$H$128,"OK",SONDERZAHLUNGEN!$F$9:$F$128,"Ja")))</x:f>
      </x:c>
      <x:c r="H431" s="88" t="str">
        <x:f>IF(C431="","",MIN(MAX(0,D431+E431-F431-G431),MAX(0,IF(MONATSBUDGET!$C$28="",0,MONATSBUDGET!$C$28)-SUM(F420:F439)-SUM(H420:H430))))</x:f>
      </x:c>
      <x:c r="I431" s="88" t="str">
        <x:f>IF(C431="","",MAX(0,ROUND(D431+E431-F431-G431-H431,2)))</x:f>
      </x:c>
      <x:c r="J431" s="88" t="str">
        <x:f>IF(C431="","",F431+G431+H431)</x:f>
      </x:c>
      <x:c r="K431" s="88" t="str">
        <x:f>IF(C431="","",MAX(0,SUMIFS(SONDERZAHLUNGEN!$E$9:$E$128,SONDERZAHLUNGEN!$B$9:$B$128,C431,SONDERZAHLUNGEN!$C$9:$C$128,A431,SONDERZAHLUNGEN!$H$9:$H$128,"OK",SONDERZAHLUNGEN!$F$9:$F$128,"Ja")-G431))</x:f>
      </x:c>
    </x:row>
    <x:row r="432" ht="19" customHeight="1">
      <x:c r="A432" s="90" t="n">
        <x:f>MONATSBUDGET!$A$28</x:f>
        <x:v>46844</x:v>
      </x:c>
      <x:c r="B432" t="n">
        <x:f>13</x:f>
        <x:v>13</x:v>
      </x:c>
      <x:c r="C432" t="str">
        <x:f>IF($N$21="","",$N$21)</x:f>
      </x:c>
      <x:c r="D432" s="88" t="str">
        <x:f>IF(C432="","",I412)</x:f>
      </x:c>
      <x:c r="E432" s="88" t="str">
        <x:f>IF(C432="","",ROUND(D432*$P$21/12,2))</x:f>
      </x:c>
      <x:c r="F432" s="88" t="str">
        <x:f>IF(C432="","",MIN(D432+E432,$Q$21))</x:f>
      </x:c>
      <x:c r="G432" s="88" t="str">
        <x:f>IF(C432="","",MIN(MAX(0,D432+E432-F432),SUMIFS(SONDERZAHLUNGEN!$E$9:$E$128,SONDERZAHLUNGEN!$B$9:$B$128,C432,SONDERZAHLUNGEN!$C$9:$C$128,A432,SONDERZAHLUNGEN!$H$9:$H$128,"OK",SONDERZAHLUNGEN!$F$9:$F$128,"Ja")))</x:f>
      </x:c>
      <x:c r="H432" s="88" t="str">
        <x:f>IF(C432="","",MIN(MAX(0,D432+E432-F432-G432),MAX(0,IF(MONATSBUDGET!$C$28="",0,MONATSBUDGET!$C$28)-SUM(F420:F439)-SUM(H420:H431))))</x:f>
      </x:c>
      <x:c r="I432" s="88" t="str">
        <x:f>IF(C432="","",MAX(0,ROUND(D432+E432-F432-G432-H432,2)))</x:f>
      </x:c>
      <x:c r="J432" s="88" t="str">
        <x:f>IF(C432="","",F432+G432+H432)</x:f>
      </x:c>
      <x:c r="K432" s="88" t="str">
        <x:f>IF(C432="","",MAX(0,SUMIFS(SONDERZAHLUNGEN!$E$9:$E$128,SONDERZAHLUNGEN!$B$9:$B$128,C432,SONDERZAHLUNGEN!$C$9:$C$128,A432,SONDERZAHLUNGEN!$H$9:$H$128,"OK",SONDERZAHLUNGEN!$F$9:$F$128,"Ja")-G432))</x:f>
      </x:c>
    </x:row>
    <x:row r="433" ht="19" customHeight="1">
      <x:c r="A433" s="90" t="n">
        <x:f>MONATSBUDGET!$A$28</x:f>
        <x:v>46844</x:v>
      </x:c>
      <x:c r="B433" t="n">
        <x:f>14</x:f>
        <x:v>14</x:v>
      </x:c>
      <x:c r="C433" t="str">
        <x:f>IF($N$22="","",$N$22)</x:f>
      </x:c>
      <x:c r="D433" s="88" t="str">
        <x:f>IF(C433="","",I413)</x:f>
      </x:c>
      <x:c r="E433" s="88" t="str">
        <x:f>IF(C433="","",ROUND(D433*$P$22/12,2))</x:f>
      </x:c>
      <x:c r="F433" s="88" t="str">
        <x:f>IF(C433="","",MIN(D433+E433,$Q$22))</x:f>
      </x:c>
      <x:c r="G433" s="88" t="str">
        <x:f>IF(C433="","",MIN(MAX(0,D433+E433-F433),SUMIFS(SONDERZAHLUNGEN!$E$9:$E$128,SONDERZAHLUNGEN!$B$9:$B$128,C433,SONDERZAHLUNGEN!$C$9:$C$128,A433,SONDERZAHLUNGEN!$H$9:$H$128,"OK",SONDERZAHLUNGEN!$F$9:$F$128,"Ja")))</x:f>
      </x:c>
      <x:c r="H433" s="88" t="str">
        <x:f>IF(C433="","",MIN(MAX(0,D433+E433-F433-G433),MAX(0,IF(MONATSBUDGET!$C$28="",0,MONATSBUDGET!$C$28)-SUM(F420:F439)-SUM(H420:H432))))</x:f>
      </x:c>
      <x:c r="I433" s="88" t="str">
        <x:f>IF(C433="","",MAX(0,ROUND(D433+E433-F433-G433-H433,2)))</x:f>
      </x:c>
      <x:c r="J433" s="88" t="str">
        <x:f>IF(C433="","",F433+G433+H433)</x:f>
      </x:c>
      <x:c r="K433" s="88" t="str">
        <x:f>IF(C433="","",MAX(0,SUMIFS(SONDERZAHLUNGEN!$E$9:$E$128,SONDERZAHLUNGEN!$B$9:$B$128,C433,SONDERZAHLUNGEN!$C$9:$C$128,A433,SONDERZAHLUNGEN!$H$9:$H$128,"OK",SONDERZAHLUNGEN!$F$9:$F$128,"Ja")-G433))</x:f>
      </x:c>
    </x:row>
    <x:row r="434" ht="19" customHeight="1">
      <x:c r="A434" s="90" t="n">
        <x:f>MONATSBUDGET!$A$28</x:f>
        <x:v>46844</x:v>
      </x:c>
      <x:c r="B434" t="n">
        <x:f>15</x:f>
        <x:v>15</x:v>
      </x:c>
      <x:c r="C434" t="str">
        <x:f>IF($N$23="","",$N$23)</x:f>
      </x:c>
      <x:c r="D434" s="88" t="str">
        <x:f>IF(C434="","",I414)</x:f>
      </x:c>
      <x:c r="E434" s="88" t="str">
        <x:f>IF(C434="","",ROUND(D434*$P$23/12,2))</x:f>
      </x:c>
      <x:c r="F434" s="88" t="str">
        <x:f>IF(C434="","",MIN(D434+E434,$Q$23))</x:f>
      </x:c>
      <x:c r="G434" s="88" t="str">
        <x:f>IF(C434="","",MIN(MAX(0,D434+E434-F434),SUMIFS(SONDERZAHLUNGEN!$E$9:$E$128,SONDERZAHLUNGEN!$B$9:$B$128,C434,SONDERZAHLUNGEN!$C$9:$C$128,A434,SONDERZAHLUNGEN!$H$9:$H$128,"OK",SONDERZAHLUNGEN!$F$9:$F$128,"Ja")))</x:f>
      </x:c>
      <x:c r="H434" s="88" t="str">
        <x:f>IF(C434="","",MIN(MAX(0,D434+E434-F434-G434),MAX(0,IF(MONATSBUDGET!$C$28="",0,MONATSBUDGET!$C$28)-SUM(F420:F439)-SUM(H420:H433))))</x:f>
      </x:c>
      <x:c r="I434" s="88" t="str">
        <x:f>IF(C434="","",MAX(0,ROUND(D434+E434-F434-G434-H434,2)))</x:f>
      </x:c>
      <x:c r="J434" s="88" t="str">
        <x:f>IF(C434="","",F434+G434+H434)</x:f>
      </x:c>
      <x:c r="K434" s="88" t="str">
        <x:f>IF(C434="","",MAX(0,SUMIFS(SONDERZAHLUNGEN!$E$9:$E$128,SONDERZAHLUNGEN!$B$9:$B$128,C434,SONDERZAHLUNGEN!$C$9:$C$128,A434,SONDERZAHLUNGEN!$H$9:$H$128,"OK",SONDERZAHLUNGEN!$F$9:$F$128,"Ja")-G434))</x:f>
      </x:c>
    </x:row>
    <x:row r="435" ht="19" customHeight="1">
      <x:c r="A435" s="90" t="n">
        <x:f>MONATSBUDGET!$A$28</x:f>
        <x:v>46844</x:v>
      </x:c>
      <x:c r="B435" t="n">
        <x:f>16</x:f>
        <x:v>16</x:v>
      </x:c>
      <x:c r="C435" t="str">
        <x:f>IF($N$24="","",$N$24)</x:f>
      </x:c>
      <x:c r="D435" s="88" t="str">
        <x:f>IF(C435="","",I415)</x:f>
      </x:c>
      <x:c r="E435" s="88" t="str">
        <x:f>IF(C435="","",ROUND(D435*$P$24/12,2))</x:f>
      </x:c>
      <x:c r="F435" s="88" t="str">
        <x:f>IF(C435="","",MIN(D435+E435,$Q$24))</x:f>
      </x:c>
      <x:c r="G435" s="88" t="str">
        <x:f>IF(C435="","",MIN(MAX(0,D435+E435-F435),SUMIFS(SONDERZAHLUNGEN!$E$9:$E$128,SONDERZAHLUNGEN!$B$9:$B$128,C435,SONDERZAHLUNGEN!$C$9:$C$128,A435,SONDERZAHLUNGEN!$H$9:$H$128,"OK",SONDERZAHLUNGEN!$F$9:$F$128,"Ja")))</x:f>
      </x:c>
      <x:c r="H435" s="88" t="str">
        <x:f>IF(C435="","",MIN(MAX(0,D435+E435-F435-G435),MAX(0,IF(MONATSBUDGET!$C$28="",0,MONATSBUDGET!$C$28)-SUM(F420:F439)-SUM(H420:H434))))</x:f>
      </x:c>
      <x:c r="I435" s="88" t="str">
        <x:f>IF(C435="","",MAX(0,ROUND(D435+E435-F435-G435-H435,2)))</x:f>
      </x:c>
      <x:c r="J435" s="88" t="str">
        <x:f>IF(C435="","",F435+G435+H435)</x:f>
      </x:c>
      <x:c r="K435" s="88" t="str">
        <x:f>IF(C435="","",MAX(0,SUMIFS(SONDERZAHLUNGEN!$E$9:$E$128,SONDERZAHLUNGEN!$B$9:$B$128,C435,SONDERZAHLUNGEN!$C$9:$C$128,A435,SONDERZAHLUNGEN!$H$9:$H$128,"OK",SONDERZAHLUNGEN!$F$9:$F$128,"Ja")-G435))</x:f>
      </x:c>
    </x:row>
    <x:row r="436" ht="19" customHeight="1">
      <x:c r="A436" s="90" t="n">
        <x:f>MONATSBUDGET!$A$28</x:f>
        <x:v>46844</x:v>
      </x:c>
      <x:c r="B436" t="n">
        <x:f>17</x:f>
        <x:v>17</x:v>
      </x:c>
      <x:c r="C436" t="str">
        <x:f>IF($N$25="","",$N$25)</x:f>
      </x:c>
      <x:c r="D436" s="88" t="str">
        <x:f>IF(C436="","",I416)</x:f>
      </x:c>
      <x:c r="E436" s="88" t="str">
        <x:f>IF(C436="","",ROUND(D436*$P$25/12,2))</x:f>
      </x:c>
      <x:c r="F436" s="88" t="str">
        <x:f>IF(C436="","",MIN(D436+E436,$Q$25))</x:f>
      </x:c>
      <x:c r="G436" s="88" t="str">
        <x:f>IF(C436="","",MIN(MAX(0,D436+E436-F436),SUMIFS(SONDERZAHLUNGEN!$E$9:$E$128,SONDERZAHLUNGEN!$B$9:$B$128,C436,SONDERZAHLUNGEN!$C$9:$C$128,A436,SONDERZAHLUNGEN!$H$9:$H$128,"OK",SONDERZAHLUNGEN!$F$9:$F$128,"Ja")))</x:f>
      </x:c>
      <x:c r="H436" s="88" t="str">
        <x:f>IF(C436="","",MIN(MAX(0,D436+E436-F436-G436),MAX(0,IF(MONATSBUDGET!$C$28="",0,MONATSBUDGET!$C$28)-SUM(F420:F439)-SUM(H420:H435))))</x:f>
      </x:c>
      <x:c r="I436" s="88" t="str">
        <x:f>IF(C436="","",MAX(0,ROUND(D436+E436-F436-G436-H436,2)))</x:f>
      </x:c>
      <x:c r="J436" s="88" t="str">
        <x:f>IF(C436="","",F436+G436+H436)</x:f>
      </x:c>
      <x:c r="K436" s="88" t="str">
        <x:f>IF(C436="","",MAX(0,SUMIFS(SONDERZAHLUNGEN!$E$9:$E$128,SONDERZAHLUNGEN!$B$9:$B$128,C436,SONDERZAHLUNGEN!$C$9:$C$128,A436,SONDERZAHLUNGEN!$H$9:$H$128,"OK",SONDERZAHLUNGEN!$F$9:$F$128,"Ja")-G436))</x:f>
      </x:c>
    </x:row>
    <x:row r="437" ht="19" customHeight="1">
      <x:c r="A437" s="90" t="n">
        <x:f>MONATSBUDGET!$A$28</x:f>
        <x:v>46844</x:v>
      </x:c>
      <x:c r="B437" t="n">
        <x:f>18</x:f>
        <x:v>18</x:v>
      </x:c>
      <x:c r="C437" t="str">
        <x:f>IF($N$26="","",$N$26)</x:f>
      </x:c>
      <x:c r="D437" s="88" t="str">
        <x:f>IF(C437="","",I417)</x:f>
      </x:c>
      <x:c r="E437" s="88" t="str">
        <x:f>IF(C437="","",ROUND(D437*$P$26/12,2))</x:f>
      </x:c>
      <x:c r="F437" s="88" t="str">
        <x:f>IF(C437="","",MIN(D437+E437,$Q$26))</x:f>
      </x:c>
      <x:c r="G437" s="88" t="str">
        <x:f>IF(C437="","",MIN(MAX(0,D437+E437-F437),SUMIFS(SONDERZAHLUNGEN!$E$9:$E$128,SONDERZAHLUNGEN!$B$9:$B$128,C437,SONDERZAHLUNGEN!$C$9:$C$128,A437,SONDERZAHLUNGEN!$H$9:$H$128,"OK",SONDERZAHLUNGEN!$F$9:$F$128,"Ja")))</x:f>
      </x:c>
      <x:c r="H437" s="88" t="str">
        <x:f>IF(C437="","",MIN(MAX(0,D437+E437-F437-G437),MAX(0,IF(MONATSBUDGET!$C$28="",0,MONATSBUDGET!$C$28)-SUM(F420:F439)-SUM(H420:H436))))</x:f>
      </x:c>
      <x:c r="I437" s="88" t="str">
        <x:f>IF(C437="","",MAX(0,ROUND(D437+E437-F437-G437-H437,2)))</x:f>
      </x:c>
      <x:c r="J437" s="88" t="str">
        <x:f>IF(C437="","",F437+G437+H437)</x:f>
      </x:c>
      <x:c r="K437" s="88" t="str">
        <x:f>IF(C437="","",MAX(0,SUMIFS(SONDERZAHLUNGEN!$E$9:$E$128,SONDERZAHLUNGEN!$B$9:$B$128,C437,SONDERZAHLUNGEN!$C$9:$C$128,A437,SONDERZAHLUNGEN!$H$9:$H$128,"OK",SONDERZAHLUNGEN!$F$9:$F$128,"Ja")-G437))</x:f>
      </x:c>
    </x:row>
    <x:row r="438" ht="19" customHeight="1">
      <x:c r="A438" s="90" t="n">
        <x:f>MONATSBUDGET!$A$28</x:f>
        <x:v>46844</x:v>
      </x:c>
      <x:c r="B438" t="n">
        <x:f>19</x:f>
        <x:v>19</x:v>
      </x:c>
      <x:c r="C438" t="str">
        <x:f>IF($N$27="","",$N$27)</x:f>
      </x:c>
      <x:c r="D438" s="88" t="str">
        <x:f>IF(C438="","",I418)</x:f>
      </x:c>
      <x:c r="E438" s="88" t="str">
        <x:f>IF(C438="","",ROUND(D438*$P$27/12,2))</x:f>
      </x:c>
      <x:c r="F438" s="88" t="str">
        <x:f>IF(C438="","",MIN(D438+E438,$Q$27))</x:f>
      </x:c>
      <x:c r="G438" s="88" t="str">
        <x:f>IF(C438="","",MIN(MAX(0,D438+E438-F438),SUMIFS(SONDERZAHLUNGEN!$E$9:$E$128,SONDERZAHLUNGEN!$B$9:$B$128,C438,SONDERZAHLUNGEN!$C$9:$C$128,A438,SONDERZAHLUNGEN!$H$9:$H$128,"OK",SONDERZAHLUNGEN!$F$9:$F$128,"Ja")))</x:f>
      </x:c>
      <x:c r="H438" s="88" t="str">
        <x:f>IF(C438="","",MIN(MAX(0,D438+E438-F438-G438),MAX(0,IF(MONATSBUDGET!$C$28="",0,MONATSBUDGET!$C$28)-SUM(F420:F439)-SUM(H420:H437))))</x:f>
      </x:c>
      <x:c r="I438" s="88" t="str">
        <x:f>IF(C438="","",MAX(0,ROUND(D438+E438-F438-G438-H438,2)))</x:f>
      </x:c>
      <x:c r="J438" s="88" t="str">
        <x:f>IF(C438="","",F438+G438+H438)</x:f>
      </x:c>
      <x:c r="K438" s="88" t="str">
        <x:f>IF(C438="","",MAX(0,SUMIFS(SONDERZAHLUNGEN!$E$9:$E$128,SONDERZAHLUNGEN!$B$9:$B$128,C438,SONDERZAHLUNGEN!$C$9:$C$128,A438,SONDERZAHLUNGEN!$H$9:$H$128,"OK",SONDERZAHLUNGEN!$F$9:$F$128,"Ja")-G438))</x:f>
      </x:c>
    </x:row>
    <x:row r="439" ht="19" customHeight="1">
      <x:c r="A439" s="90" t="n">
        <x:f>MONATSBUDGET!$A$28</x:f>
        <x:v>46844</x:v>
      </x:c>
      <x:c r="B439" t="n">
        <x:f>20</x:f>
        <x:v>20</x:v>
      </x:c>
      <x:c r="C439" t="str">
        <x:f>IF($N$28="","",$N$28)</x:f>
      </x:c>
      <x:c r="D439" s="88" t="str">
        <x:f>IF(C439="","",I419)</x:f>
      </x:c>
      <x:c r="E439" s="88" t="str">
        <x:f>IF(C439="","",ROUND(D439*$P$28/12,2))</x:f>
      </x:c>
      <x:c r="F439" s="88" t="str">
        <x:f>IF(C439="","",MIN(D439+E439,$Q$28))</x:f>
      </x:c>
      <x:c r="G439" s="88" t="str">
        <x:f>IF(C439="","",MIN(MAX(0,D439+E439-F439),SUMIFS(SONDERZAHLUNGEN!$E$9:$E$128,SONDERZAHLUNGEN!$B$9:$B$128,C439,SONDERZAHLUNGEN!$C$9:$C$128,A439,SONDERZAHLUNGEN!$H$9:$H$128,"OK",SONDERZAHLUNGEN!$F$9:$F$128,"Ja")))</x:f>
      </x:c>
      <x:c r="H439" s="88" t="str">
        <x:f>IF(C439="","",MIN(MAX(0,D439+E439-F439-G439),MAX(0,IF(MONATSBUDGET!$C$28="",0,MONATSBUDGET!$C$28)-SUM(F420:F439)-SUM(H420:H438))))</x:f>
      </x:c>
      <x:c r="I439" s="88" t="str">
        <x:f>IF(C439="","",MAX(0,ROUND(D439+E439-F439-G439-H439,2)))</x:f>
      </x:c>
      <x:c r="J439" s="88" t="str">
        <x:f>IF(C439="","",F439+G439+H439)</x:f>
      </x:c>
      <x:c r="K439" s="88" t="str">
        <x:f>IF(C439="","",MAX(0,SUMIFS(SONDERZAHLUNGEN!$E$9:$E$128,SONDERZAHLUNGEN!$B$9:$B$128,C439,SONDERZAHLUNGEN!$C$9:$C$128,A439,SONDERZAHLUNGEN!$H$9:$H$128,"OK",SONDERZAHLUNGEN!$F$9:$F$128,"Ja")-G439))</x:f>
      </x:c>
    </x:row>
    <x:row r="440" ht="19" customHeight="1">
      <x:c r="A440" s="90" t="n">
        <x:f>MONATSBUDGET!$A$29</x:f>
        <x:v>46874</x:v>
      </x:c>
      <x:c r="B440" t="n">
        <x:f>1</x:f>
        <x:v>1</x:v>
      </x:c>
      <x:c r="C440" t="str">
        <x:f>IF($N$9="","",$N$9)</x:f>
      </x:c>
      <x:c r="D440" s="88" t="str">
        <x:f>IF(C440="","",I420)</x:f>
      </x:c>
      <x:c r="E440" s="88" t="str">
        <x:f>IF(C440="","",ROUND(D440*$P$9/12,2))</x:f>
      </x:c>
      <x:c r="F440" s="88" t="str">
        <x:f>IF(C440="","",MIN(D440+E440,$Q$9))</x:f>
      </x:c>
      <x:c r="G440" s="88" t="str">
        <x:f>IF(C440="","",MIN(MAX(0,D440+E440-F440),SUMIFS(SONDERZAHLUNGEN!$E$9:$E$128,SONDERZAHLUNGEN!$B$9:$B$128,C440,SONDERZAHLUNGEN!$C$9:$C$128,A440,SONDERZAHLUNGEN!$H$9:$H$128,"OK",SONDERZAHLUNGEN!$F$9:$F$128,"Ja")))</x:f>
      </x:c>
      <x:c r="H440" s="88" t="str">
        <x:f>IF(C440="","",MIN(MAX(0,D440+E440-F440-G440),MAX(0,IF(MONATSBUDGET!$C$29="",0,MONATSBUDGET!$C$29)-SUM(F440:F459)-0)))</x:f>
      </x:c>
      <x:c r="I440" s="88" t="str">
        <x:f>IF(C440="","",MAX(0,ROUND(D440+E440-F440-G440-H440,2)))</x:f>
      </x:c>
      <x:c r="J440" s="88" t="str">
        <x:f>IF(C440="","",F440+G440+H440)</x:f>
      </x:c>
      <x:c r="K440" s="88" t="str">
        <x:f>IF(C440="","",MAX(0,SUMIFS(SONDERZAHLUNGEN!$E$9:$E$128,SONDERZAHLUNGEN!$B$9:$B$128,C440,SONDERZAHLUNGEN!$C$9:$C$128,A440,SONDERZAHLUNGEN!$H$9:$H$128,"OK",SONDERZAHLUNGEN!$F$9:$F$128,"Ja")-G440))</x:f>
      </x:c>
    </x:row>
    <x:row r="441" ht="19" customHeight="1">
      <x:c r="A441" s="90" t="n">
        <x:f>MONATSBUDGET!$A$29</x:f>
        <x:v>46874</x:v>
      </x:c>
      <x:c r="B441" t="n">
        <x:f>2</x:f>
        <x:v>2</x:v>
      </x:c>
      <x:c r="C441" t="str">
        <x:f>IF($N$10="","",$N$10)</x:f>
      </x:c>
      <x:c r="D441" s="88" t="str">
        <x:f>IF(C441="","",I421)</x:f>
      </x:c>
      <x:c r="E441" s="88" t="str">
        <x:f>IF(C441="","",ROUND(D441*$P$10/12,2))</x:f>
      </x:c>
      <x:c r="F441" s="88" t="str">
        <x:f>IF(C441="","",MIN(D441+E441,$Q$10))</x:f>
      </x:c>
      <x:c r="G441" s="88" t="str">
        <x:f>IF(C441="","",MIN(MAX(0,D441+E441-F441),SUMIFS(SONDERZAHLUNGEN!$E$9:$E$128,SONDERZAHLUNGEN!$B$9:$B$128,C441,SONDERZAHLUNGEN!$C$9:$C$128,A441,SONDERZAHLUNGEN!$H$9:$H$128,"OK",SONDERZAHLUNGEN!$F$9:$F$128,"Ja")))</x:f>
      </x:c>
      <x:c r="H441" s="88" t="str">
        <x:f>IF(C441="","",MIN(MAX(0,D441+E441-F441-G441),MAX(0,IF(MONATSBUDGET!$C$29="",0,MONATSBUDGET!$C$29)-SUM(F440:F459)-SUM(H440:H440))))</x:f>
      </x:c>
      <x:c r="I441" s="88" t="str">
        <x:f>IF(C441="","",MAX(0,ROUND(D441+E441-F441-G441-H441,2)))</x:f>
      </x:c>
      <x:c r="J441" s="88" t="str">
        <x:f>IF(C441="","",F441+G441+H441)</x:f>
      </x:c>
      <x:c r="K441" s="88" t="str">
        <x:f>IF(C441="","",MAX(0,SUMIFS(SONDERZAHLUNGEN!$E$9:$E$128,SONDERZAHLUNGEN!$B$9:$B$128,C441,SONDERZAHLUNGEN!$C$9:$C$128,A441,SONDERZAHLUNGEN!$H$9:$H$128,"OK",SONDERZAHLUNGEN!$F$9:$F$128,"Ja")-G441))</x:f>
      </x:c>
    </x:row>
    <x:row r="442" ht="19" customHeight="1">
      <x:c r="A442" s="90" t="n">
        <x:f>MONATSBUDGET!$A$29</x:f>
        <x:v>46874</x:v>
      </x:c>
      <x:c r="B442" t="n">
        <x:f>3</x:f>
        <x:v>3</x:v>
      </x:c>
      <x:c r="C442" t="str">
        <x:f>IF($N$11="","",$N$11)</x:f>
      </x:c>
      <x:c r="D442" s="88" t="str">
        <x:f>IF(C442="","",I422)</x:f>
      </x:c>
      <x:c r="E442" s="88" t="str">
        <x:f>IF(C442="","",ROUND(D442*$P$11/12,2))</x:f>
      </x:c>
      <x:c r="F442" s="88" t="str">
        <x:f>IF(C442="","",MIN(D442+E442,$Q$11))</x:f>
      </x:c>
      <x:c r="G442" s="88" t="str">
        <x:f>IF(C442="","",MIN(MAX(0,D442+E442-F442),SUMIFS(SONDERZAHLUNGEN!$E$9:$E$128,SONDERZAHLUNGEN!$B$9:$B$128,C442,SONDERZAHLUNGEN!$C$9:$C$128,A442,SONDERZAHLUNGEN!$H$9:$H$128,"OK",SONDERZAHLUNGEN!$F$9:$F$128,"Ja")))</x:f>
      </x:c>
      <x:c r="H442" s="88" t="str">
        <x:f>IF(C442="","",MIN(MAX(0,D442+E442-F442-G442),MAX(0,IF(MONATSBUDGET!$C$29="",0,MONATSBUDGET!$C$29)-SUM(F440:F459)-SUM(H440:H441))))</x:f>
      </x:c>
      <x:c r="I442" s="88" t="str">
        <x:f>IF(C442="","",MAX(0,ROUND(D442+E442-F442-G442-H442,2)))</x:f>
      </x:c>
      <x:c r="J442" s="88" t="str">
        <x:f>IF(C442="","",F442+G442+H442)</x:f>
      </x:c>
      <x:c r="K442" s="88" t="str">
        <x:f>IF(C442="","",MAX(0,SUMIFS(SONDERZAHLUNGEN!$E$9:$E$128,SONDERZAHLUNGEN!$B$9:$B$128,C442,SONDERZAHLUNGEN!$C$9:$C$128,A442,SONDERZAHLUNGEN!$H$9:$H$128,"OK",SONDERZAHLUNGEN!$F$9:$F$128,"Ja")-G442))</x:f>
      </x:c>
    </x:row>
    <x:row r="443" ht="19" customHeight="1">
      <x:c r="A443" s="90" t="n">
        <x:f>MONATSBUDGET!$A$29</x:f>
        <x:v>46874</x:v>
      </x:c>
      <x:c r="B443" t="n">
        <x:f>4</x:f>
        <x:v>4</x:v>
      </x:c>
      <x:c r="C443" t="str">
        <x:f>IF($N$12="","",$N$12)</x:f>
      </x:c>
      <x:c r="D443" s="88" t="str">
        <x:f>IF(C443="","",I423)</x:f>
      </x:c>
      <x:c r="E443" s="88" t="str">
        <x:f>IF(C443="","",ROUND(D443*$P$12/12,2))</x:f>
      </x:c>
      <x:c r="F443" s="88" t="str">
        <x:f>IF(C443="","",MIN(D443+E443,$Q$12))</x:f>
      </x:c>
      <x:c r="G443" s="88" t="str">
        <x:f>IF(C443="","",MIN(MAX(0,D443+E443-F443),SUMIFS(SONDERZAHLUNGEN!$E$9:$E$128,SONDERZAHLUNGEN!$B$9:$B$128,C443,SONDERZAHLUNGEN!$C$9:$C$128,A443,SONDERZAHLUNGEN!$H$9:$H$128,"OK",SONDERZAHLUNGEN!$F$9:$F$128,"Ja")))</x:f>
      </x:c>
      <x:c r="H443" s="88" t="str">
        <x:f>IF(C443="","",MIN(MAX(0,D443+E443-F443-G443),MAX(0,IF(MONATSBUDGET!$C$29="",0,MONATSBUDGET!$C$29)-SUM(F440:F459)-SUM(H440:H442))))</x:f>
      </x:c>
      <x:c r="I443" s="88" t="str">
        <x:f>IF(C443="","",MAX(0,ROUND(D443+E443-F443-G443-H443,2)))</x:f>
      </x:c>
      <x:c r="J443" s="88" t="str">
        <x:f>IF(C443="","",F443+G443+H443)</x:f>
      </x:c>
      <x:c r="K443" s="88" t="str">
        <x:f>IF(C443="","",MAX(0,SUMIFS(SONDERZAHLUNGEN!$E$9:$E$128,SONDERZAHLUNGEN!$B$9:$B$128,C443,SONDERZAHLUNGEN!$C$9:$C$128,A443,SONDERZAHLUNGEN!$H$9:$H$128,"OK",SONDERZAHLUNGEN!$F$9:$F$128,"Ja")-G443))</x:f>
      </x:c>
    </x:row>
    <x:row r="444" ht="19" customHeight="1">
      <x:c r="A444" s="90" t="n">
        <x:f>MONATSBUDGET!$A$29</x:f>
        <x:v>46874</x:v>
      </x:c>
      <x:c r="B444" t="n">
        <x:f>5</x:f>
        <x:v>5</x:v>
      </x:c>
      <x:c r="C444" t="str">
        <x:f>IF($N$13="","",$N$13)</x:f>
      </x:c>
      <x:c r="D444" s="88" t="str">
        <x:f>IF(C444="","",I424)</x:f>
      </x:c>
      <x:c r="E444" s="88" t="str">
        <x:f>IF(C444="","",ROUND(D444*$P$13/12,2))</x:f>
      </x:c>
      <x:c r="F444" s="88" t="str">
        <x:f>IF(C444="","",MIN(D444+E444,$Q$13))</x:f>
      </x:c>
      <x:c r="G444" s="88" t="str">
        <x:f>IF(C444="","",MIN(MAX(0,D444+E444-F444),SUMIFS(SONDERZAHLUNGEN!$E$9:$E$128,SONDERZAHLUNGEN!$B$9:$B$128,C444,SONDERZAHLUNGEN!$C$9:$C$128,A444,SONDERZAHLUNGEN!$H$9:$H$128,"OK",SONDERZAHLUNGEN!$F$9:$F$128,"Ja")))</x:f>
      </x:c>
      <x:c r="H444" s="88" t="str">
        <x:f>IF(C444="","",MIN(MAX(0,D444+E444-F444-G444),MAX(0,IF(MONATSBUDGET!$C$29="",0,MONATSBUDGET!$C$29)-SUM(F440:F459)-SUM(H440:H443))))</x:f>
      </x:c>
      <x:c r="I444" s="88" t="str">
        <x:f>IF(C444="","",MAX(0,ROUND(D444+E444-F444-G444-H444,2)))</x:f>
      </x:c>
      <x:c r="J444" s="88" t="str">
        <x:f>IF(C444="","",F444+G444+H444)</x:f>
      </x:c>
      <x:c r="K444" s="88" t="str">
        <x:f>IF(C444="","",MAX(0,SUMIFS(SONDERZAHLUNGEN!$E$9:$E$128,SONDERZAHLUNGEN!$B$9:$B$128,C444,SONDERZAHLUNGEN!$C$9:$C$128,A444,SONDERZAHLUNGEN!$H$9:$H$128,"OK",SONDERZAHLUNGEN!$F$9:$F$128,"Ja")-G444))</x:f>
      </x:c>
    </x:row>
    <x:row r="445" ht="19" customHeight="1">
      <x:c r="A445" s="90" t="n">
        <x:f>MONATSBUDGET!$A$29</x:f>
        <x:v>46874</x:v>
      </x:c>
      <x:c r="B445" t="n">
        <x:f>6</x:f>
        <x:v>6</x:v>
      </x:c>
      <x:c r="C445" t="str">
        <x:f>IF($N$14="","",$N$14)</x:f>
      </x:c>
      <x:c r="D445" s="88" t="str">
        <x:f>IF(C445="","",I425)</x:f>
      </x:c>
      <x:c r="E445" s="88" t="str">
        <x:f>IF(C445="","",ROUND(D445*$P$14/12,2))</x:f>
      </x:c>
      <x:c r="F445" s="88" t="str">
        <x:f>IF(C445="","",MIN(D445+E445,$Q$14))</x:f>
      </x:c>
      <x:c r="G445" s="88" t="str">
        <x:f>IF(C445="","",MIN(MAX(0,D445+E445-F445),SUMIFS(SONDERZAHLUNGEN!$E$9:$E$128,SONDERZAHLUNGEN!$B$9:$B$128,C445,SONDERZAHLUNGEN!$C$9:$C$128,A445,SONDERZAHLUNGEN!$H$9:$H$128,"OK",SONDERZAHLUNGEN!$F$9:$F$128,"Ja")))</x:f>
      </x:c>
      <x:c r="H445" s="88" t="str">
        <x:f>IF(C445="","",MIN(MAX(0,D445+E445-F445-G445),MAX(0,IF(MONATSBUDGET!$C$29="",0,MONATSBUDGET!$C$29)-SUM(F440:F459)-SUM(H440:H444))))</x:f>
      </x:c>
      <x:c r="I445" s="88" t="str">
        <x:f>IF(C445="","",MAX(0,ROUND(D445+E445-F445-G445-H445,2)))</x:f>
      </x:c>
      <x:c r="J445" s="88" t="str">
        <x:f>IF(C445="","",F445+G445+H445)</x:f>
      </x:c>
      <x:c r="K445" s="88" t="str">
        <x:f>IF(C445="","",MAX(0,SUMIFS(SONDERZAHLUNGEN!$E$9:$E$128,SONDERZAHLUNGEN!$B$9:$B$128,C445,SONDERZAHLUNGEN!$C$9:$C$128,A445,SONDERZAHLUNGEN!$H$9:$H$128,"OK",SONDERZAHLUNGEN!$F$9:$F$128,"Ja")-G445))</x:f>
      </x:c>
    </x:row>
    <x:row r="446" ht="19" customHeight="1">
      <x:c r="A446" s="90" t="n">
        <x:f>MONATSBUDGET!$A$29</x:f>
        <x:v>46874</x:v>
      </x:c>
      <x:c r="B446" t="n">
        <x:f>7</x:f>
        <x:v>7</x:v>
      </x:c>
      <x:c r="C446" t="str">
        <x:f>IF($N$15="","",$N$15)</x:f>
      </x:c>
      <x:c r="D446" s="88" t="str">
        <x:f>IF(C446="","",I426)</x:f>
      </x:c>
      <x:c r="E446" s="88" t="str">
        <x:f>IF(C446="","",ROUND(D446*$P$15/12,2))</x:f>
      </x:c>
      <x:c r="F446" s="88" t="str">
        <x:f>IF(C446="","",MIN(D446+E446,$Q$15))</x:f>
      </x:c>
      <x:c r="G446" s="88" t="str">
        <x:f>IF(C446="","",MIN(MAX(0,D446+E446-F446),SUMIFS(SONDERZAHLUNGEN!$E$9:$E$128,SONDERZAHLUNGEN!$B$9:$B$128,C446,SONDERZAHLUNGEN!$C$9:$C$128,A446,SONDERZAHLUNGEN!$H$9:$H$128,"OK",SONDERZAHLUNGEN!$F$9:$F$128,"Ja")))</x:f>
      </x:c>
      <x:c r="H446" s="88" t="str">
        <x:f>IF(C446="","",MIN(MAX(0,D446+E446-F446-G446),MAX(0,IF(MONATSBUDGET!$C$29="",0,MONATSBUDGET!$C$29)-SUM(F440:F459)-SUM(H440:H445))))</x:f>
      </x:c>
      <x:c r="I446" s="88" t="str">
        <x:f>IF(C446="","",MAX(0,ROUND(D446+E446-F446-G446-H446,2)))</x:f>
      </x:c>
      <x:c r="J446" s="88" t="str">
        <x:f>IF(C446="","",F446+G446+H446)</x:f>
      </x:c>
      <x:c r="K446" s="88" t="str">
        <x:f>IF(C446="","",MAX(0,SUMIFS(SONDERZAHLUNGEN!$E$9:$E$128,SONDERZAHLUNGEN!$B$9:$B$128,C446,SONDERZAHLUNGEN!$C$9:$C$128,A446,SONDERZAHLUNGEN!$H$9:$H$128,"OK",SONDERZAHLUNGEN!$F$9:$F$128,"Ja")-G446))</x:f>
      </x:c>
    </x:row>
    <x:row r="447" ht="19" customHeight="1">
      <x:c r="A447" s="90" t="n">
        <x:f>MONATSBUDGET!$A$29</x:f>
        <x:v>46874</x:v>
      </x:c>
      <x:c r="B447" t="n">
        <x:f>8</x:f>
        <x:v>8</x:v>
      </x:c>
      <x:c r="C447" t="str">
        <x:f>IF($N$16="","",$N$16)</x:f>
      </x:c>
      <x:c r="D447" s="88" t="str">
        <x:f>IF(C447="","",I427)</x:f>
      </x:c>
      <x:c r="E447" s="88" t="str">
        <x:f>IF(C447="","",ROUND(D447*$P$16/12,2))</x:f>
      </x:c>
      <x:c r="F447" s="88" t="str">
        <x:f>IF(C447="","",MIN(D447+E447,$Q$16))</x:f>
      </x:c>
      <x:c r="G447" s="88" t="str">
        <x:f>IF(C447="","",MIN(MAX(0,D447+E447-F447),SUMIFS(SONDERZAHLUNGEN!$E$9:$E$128,SONDERZAHLUNGEN!$B$9:$B$128,C447,SONDERZAHLUNGEN!$C$9:$C$128,A447,SONDERZAHLUNGEN!$H$9:$H$128,"OK",SONDERZAHLUNGEN!$F$9:$F$128,"Ja")))</x:f>
      </x:c>
      <x:c r="H447" s="88" t="str">
        <x:f>IF(C447="","",MIN(MAX(0,D447+E447-F447-G447),MAX(0,IF(MONATSBUDGET!$C$29="",0,MONATSBUDGET!$C$29)-SUM(F440:F459)-SUM(H440:H446))))</x:f>
      </x:c>
      <x:c r="I447" s="88" t="str">
        <x:f>IF(C447="","",MAX(0,ROUND(D447+E447-F447-G447-H447,2)))</x:f>
      </x:c>
      <x:c r="J447" s="88" t="str">
        <x:f>IF(C447="","",F447+G447+H447)</x:f>
      </x:c>
      <x:c r="K447" s="88" t="str">
        <x:f>IF(C447="","",MAX(0,SUMIFS(SONDERZAHLUNGEN!$E$9:$E$128,SONDERZAHLUNGEN!$B$9:$B$128,C447,SONDERZAHLUNGEN!$C$9:$C$128,A447,SONDERZAHLUNGEN!$H$9:$H$128,"OK",SONDERZAHLUNGEN!$F$9:$F$128,"Ja")-G447))</x:f>
      </x:c>
    </x:row>
    <x:row r="448" ht="19" customHeight="1">
      <x:c r="A448" s="90" t="n">
        <x:f>MONATSBUDGET!$A$29</x:f>
        <x:v>46874</x:v>
      </x:c>
      <x:c r="B448" t="n">
        <x:f>9</x:f>
        <x:v>9</x:v>
      </x:c>
      <x:c r="C448" t="str">
        <x:f>IF($N$17="","",$N$17)</x:f>
      </x:c>
      <x:c r="D448" s="88" t="str">
        <x:f>IF(C448="","",I428)</x:f>
      </x:c>
      <x:c r="E448" s="88" t="str">
        <x:f>IF(C448="","",ROUND(D448*$P$17/12,2))</x:f>
      </x:c>
      <x:c r="F448" s="88" t="str">
        <x:f>IF(C448="","",MIN(D448+E448,$Q$17))</x:f>
      </x:c>
      <x:c r="G448" s="88" t="str">
        <x:f>IF(C448="","",MIN(MAX(0,D448+E448-F448),SUMIFS(SONDERZAHLUNGEN!$E$9:$E$128,SONDERZAHLUNGEN!$B$9:$B$128,C448,SONDERZAHLUNGEN!$C$9:$C$128,A448,SONDERZAHLUNGEN!$H$9:$H$128,"OK",SONDERZAHLUNGEN!$F$9:$F$128,"Ja")))</x:f>
      </x:c>
      <x:c r="H448" s="88" t="str">
        <x:f>IF(C448="","",MIN(MAX(0,D448+E448-F448-G448),MAX(0,IF(MONATSBUDGET!$C$29="",0,MONATSBUDGET!$C$29)-SUM(F440:F459)-SUM(H440:H447))))</x:f>
      </x:c>
      <x:c r="I448" s="88" t="str">
        <x:f>IF(C448="","",MAX(0,ROUND(D448+E448-F448-G448-H448,2)))</x:f>
      </x:c>
      <x:c r="J448" s="88" t="str">
        <x:f>IF(C448="","",F448+G448+H448)</x:f>
      </x:c>
      <x:c r="K448" s="88" t="str">
        <x:f>IF(C448="","",MAX(0,SUMIFS(SONDERZAHLUNGEN!$E$9:$E$128,SONDERZAHLUNGEN!$B$9:$B$128,C448,SONDERZAHLUNGEN!$C$9:$C$128,A448,SONDERZAHLUNGEN!$H$9:$H$128,"OK",SONDERZAHLUNGEN!$F$9:$F$128,"Ja")-G448))</x:f>
      </x:c>
    </x:row>
    <x:row r="449" ht="19" customHeight="1">
      <x:c r="A449" s="90" t="n">
        <x:f>MONATSBUDGET!$A$29</x:f>
        <x:v>46874</x:v>
      </x:c>
      <x:c r="B449" t="n">
        <x:f>10</x:f>
        <x:v>10</x:v>
      </x:c>
      <x:c r="C449" t="str">
        <x:f>IF($N$18="","",$N$18)</x:f>
      </x:c>
      <x:c r="D449" s="88" t="str">
        <x:f>IF(C449="","",I429)</x:f>
      </x:c>
      <x:c r="E449" s="88" t="str">
        <x:f>IF(C449="","",ROUND(D449*$P$18/12,2))</x:f>
      </x:c>
      <x:c r="F449" s="88" t="str">
        <x:f>IF(C449="","",MIN(D449+E449,$Q$18))</x:f>
      </x:c>
      <x:c r="G449" s="88" t="str">
        <x:f>IF(C449="","",MIN(MAX(0,D449+E449-F449),SUMIFS(SONDERZAHLUNGEN!$E$9:$E$128,SONDERZAHLUNGEN!$B$9:$B$128,C449,SONDERZAHLUNGEN!$C$9:$C$128,A449,SONDERZAHLUNGEN!$H$9:$H$128,"OK",SONDERZAHLUNGEN!$F$9:$F$128,"Ja")))</x:f>
      </x:c>
      <x:c r="H449" s="88" t="str">
        <x:f>IF(C449="","",MIN(MAX(0,D449+E449-F449-G449),MAX(0,IF(MONATSBUDGET!$C$29="",0,MONATSBUDGET!$C$29)-SUM(F440:F459)-SUM(H440:H448))))</x:f>
      </x:c>
      <x:c r="I449" s="88" t="str">
        <x:f>IF(C449="","",MAX(0,ROUND(D449+E449-F449-G449-H449,2)))</x:f>
      </x:c>
      <x:c r="J449" s="88" t="str">
        <x:f>IF(C449="","",F449+G449+H449)</x:f>
      </x:c>
      <x:c r="K449" s="88" t="str">
        <x:f>IF(C449="","",MAX(0,SUMIFS(SONDERZAHLUNGEN!$E$9:$E$128,SONDERZAHLUNGEN!$B$9:$B$128,C449,SONDERZAHLUNGEN!$C$9:$C$128,A449,SONDERZAHLUNGEN!$H$9:$H$128,"OK",SONDERZAHLUNGEN!$F$9:$F$128,"Ja")-G449))</x:f>
      </x:c>
    </x:row>
    <x:row r="450" ht="19" customHeight="1">
      <x:c r="A450" s="90" t="n">
        <x:f>MONATSBUDGET!$A$29</x:f>
        <x:v>46874</x:v>
      </x:c>
      <x:c r="B450" t="n">
        <x:f>11</x:f>
        <x:v>11</x:v>
      </x:c>
      <x:c r="C450" t="str">
        <x:f>IF($N$19="","",$N$19)</x:f>
      </x:c>
      <x:c r="D450" s="88" t="str">
        <x:f>IF(C450="","",I430)</x:f>
      </x:c>
      <x:c r="E450" s="88" t="str">
        <x:f>IF(C450="","",ROUND(D450*$P$19/12,2))</x:f>
      </x:c>
      <x:c r="F450" s="88" t="str">
        <x:f>IF(C450="","",MIN(D450+E450,$Q$19))</x:f>
      </x:c>
      <x:c r="G450" s="88" t="str">
        <x:f>IF(C450="","",MIN(MAX(0,D450+E450-F450),SUMIFS(SONDERZAHLUNGEN!$E$9:$E$128,SONDERZAHLUNGEN!$B$9:$B$128,C450,SONDERZAHLUNGEN!$C$9:$C$128,A450,SONDERZAHLUNGEN!$H$9:$H$128,"OK",SONDERZAHLUNGEN!$F$9:$F$128,"Ja")))</x:f>
      </x:c>
      <x:c r="H450" s="88" t="str">
        <x:f>IF(C450="","",MIN(MAX(0,D450+E450-F450-G450),MAX(0,IF(MONATSBUDGET!$C$29="",0,MONATSBUDGET!$C$29)-SUM(F440:F459)-SUM(H440:H449))))</x:f>
      </x:c>
      <x:c r="I450" s="88" t="str">
        <x:f>IF(C450="","",MAX(0,ROUND(D450+E450-F450-G450-H450,2)))</x:f>
      </x:c>
      <x:c r="J450" s="88" t="str">
        <x:f>IF(C450="","",F450+G450+H450)</x:f>
      </x:c>
      <x:c r="K450" s="88" t="str">
        <x:f>IF(C450="","",MAX(0,SUMIFS(SONDERZAHLUNGEN!$E$9:$E$128,SONDERZAHLUNGEN!$B$9:$B$128,C450,SONDERZAHLUNGEN!$C$9:$C$128,A450,SONDERZAHLUNGEN!$H$9:$H$128,"OK",SONDERZAHLUNGEN!$F$9:$F$128,"Ja")-G450))</x:f>
      </x:c>
    </x:row>
    <x:row r="451" ht="19" customHeight="1">
      <x:c r="A451" s="90" t="n">
        <x:f>MONATSBUDGET!$A$29</x:f>
        <x:v>46874</x:v>
      </x:c>
      <x:c r="B451" t="n">
        <x:f>12</x:f>
        <x:v>12</x:v>
      </x:c>
      <x:c r="C451" t="str">
        <x:f>IF($N$20="","",$N$20)</x:f>
      </x:c>
      <x:c r="D451" s="88" t="str">
        <x:f>IF(C451="","",I431)</x:f>
      </x:c>
      <x:c r="E451" s="88" t="str">
        <x:f>IF(C451="","",ROUND(D451*$P$20/12,2))</x:f>
      </x:c>
      <x:c r="F451" s="88" t="str">
        <x:f>IF(C451="","",MIN(D451+E451,$Q$20))</x:f>
      </x:c>
      <x:c r="G451" s="88" t="str">
        <x:f>IF(C451="","",MIN(MAX(0,D451+E451-F451),SUMIFS(SONDERZAHLUNGEN!$E$9:$E$128,SONDERZAHLUNGEN!$B$9:$B$128,C451,SONDERZAHLUNGEN!$C$9:$C$128,A451,SONDERZAHLUNGEN!$H$9:$H$128,"OK",SONDERZAHLUNGEN!$F$9:$F$128,"Ja")))</x:f>
      </x:c>
      <x:c r="H451" s="88" t="str">
        <x:f>IF(C451="","",MIN(MAX(0,D451+E451-F451-G451),MAX(0,IF(MONATSBUDGET!$C$29="",0,MONATSBUDGET!$C$29)-SUM(F440:F459)-SUM(H440:H450))))</x:f>
      </x:c>
      <x:c r="I451" s="88" t="str">
        <x:f>IF(C451="","",MAX(0,ROUND(D451+E451-F451-G451-H451,2)))</x:f>
      </x:c>
      <x:c r="J451" s="88" t="str">
        <x:f>IF(C451="","",F451+G451+H451)</x:f>
      </x:c>
      <x:c r="K451" s="88" t="str">
        <x:f>IF(C451="","",MAX(0,SUMIFS(SONDERZAHLUNGEN!$E$9:$E$128,SONDERZAHLUNGEN!$B$9:$B$128,C451,SONDERZAHLUNGEN!$C$9:$C$128,A451,SONDERZAHLUNGEN!$H$9:$H$128,"OK",SONDERZAHLUNGEN!$F$9:$F$128,"Ja")-G451))</x:f>
      </x:c>
    </x:row>
    <x:row r="452" ht="19" customHeight="1">
      <x:c r="A452" s="90" t="n">
        <x:f>MONATSBUDGET!$A$29</x:f>
        <x:v>46874</x:v>
      </x:c>
      <x:c r="B452" t="n">
        <x:f>13</x:f>
        <x:v>13</x:v>
      </x:c>
      <x:c r="C452" t="str">
        <x:f>IF($N$21="","",$N$21)</x:f>
      </x:c>
      <x:c r="D452" s="88" t="str">
        <x:f>IF(C452="","",I432)</x:f>
      </x:c>
      <x:c r="E452" s="88" t="str">
        <x:f>IF(C452="","",ROUND(D452*$P$21/12,2))</x:f>
      </x:c>
      <x:c r="F452" s="88" t="str">
        <x:f>IF(C452="","",MIN(D452+E452,$Q$21))</x:f>
      </x:c>
      <x:c r="G452" s="88" t="str">
        <x:f>IF(C452="","",MIN(MAX(0,D452+E452-F452),SUMIFS(SONDERZAHLUNGEN!$E$9:$E$128,SONDERZAHLUNGEN!$B$9:$B$128,C452,SONDERZAHLUNGEN!$C$9:$C$128,A452,SONDERZAHLUNGEN!$H$9:$H$128,"OK",SONDERZAHLUNGEN!$F$9:$F$128,"Ja")))</x:f>
      </x:c>
      <x:c r="H452" s="88" t="str">
        <x:f>IF(C452="","",MIN(MAX(0,D452+E452-F452-G452),MAX(0,IF(MONATSBUDGET!$C$29="",0,MONATSBUDGET!$C$29)-SUM(F440:F459)-SUM(H440:H451))))</x:f>
      </x:c>
      <x:c r="I452" s="88" t="str">
        <x:f>IF(C452="","",MAX(0,ROUND(D452+E452-F452-G452-H452,2)))</x:f>
      </x:c>
      <x:c r="J452" s="88" t="str">
        <x:f>IF(C452="","",F452+G452+H452)</x:f>
      </x:c>
      <x:c r="K452" s="88" t="str">
        <x:f>IF(C452="","",MAX(0,SUMIFS(SONDERZAHLUNGEN!$E$9:$E$128,SONDERZAHLUNGEN!$B$9:$B$128,C452,SONDERZAHLUNGEN!$C$9:$C$128,A452,SONDERZAHLUNGEN!$H$9:$H$128,"OK",SONDERZAHLUNGEN!$F$9:$F$128,"Ja")-G452))</x:f>
      </x:c>
    </x:row>
    <x:row r="453" ht="19" customHeight="1">
      <x:c r="A453" s="90" t="n">
        <x:f>MONATSBUDGET!$A$29</x:f>
        <x:v>46874</x:v>
      </x:c>
      <x:c r="B453" t="n">
        <x:f>14</x:f>
        <x:v>14</x:v>
      </x:c>
      <x:c r="C453" t="str">
        <x:f>IF($N$22="","",$N$22)</x:f>
      </x:c>
      <x:c r="D453" s="88" t="str">
        <x:f>IF(C453="","",I433)</x:f>
      </x:c>
      <x:c r="E453" s="88" t="str">
        <x:f>IF(C453="","",ROUND(D453*$P$22/12,2))</x:f>
      </x:c>
      <x:c r="F453" s="88" t="str">
        <x:f>IF(C453="","",MIN(D453+E453,$Q$22))</x:f>
      </x:c>
      <x:c r="G453" s="88" t="str">
        <x:f>IF(C453="","",MIN(MAX(0,D453+E453-F453),SUMIFS(SONDERZAHLUNGEN!$E$9:$E$128,SONDERZAHLUNGEN!$B$9:$B$128,C453,SONDERZAHLUNGEN!$C$9:$C$128,A453,SONDERZAHLUNGEN!$H$9:$H$128,"OK",SONDERZAHLUNGEN!$F$9:$F$128,"Ja")))</x:f>
      </x:c>
      <x:c r="H453" s="88" t="str">
        <x:f>IF(C453="","",MIN(MAX(0,D453+E453-F453-G453),MAX(0,IF(MONATSBUDGET!$C$29="",0,MONATSBUDGET!$C$29)-SUM(F440:F459)-SUM(H440:H452))))</x:f>
      </x:c>
      <x:c r="I453" s="88" t="str">
        <x:f>IF(C453="","",MAX(0,ROUND(D453+E453-F453-G453-H453,2)))</x:f>
      </x:c>
      <x:c r="J453" s="88" t="str">
        <x:f>IF(C453="","",F453+G453+H453)</x:f>
      </x:c>
      <x:c r="K453" s="88" t="str">
        <x:f>IF(C453="","",MAX(0,SUMIFS(SONDERZAHLUNGEN!$E$9:$E$128,SONDERZAHLUNGEN!$B$9:$B$128,C453,SONDERZAHLUNGEN!$C$9:$C$128,A453,SONDERZAHLUNGEN!$H$9:$H$128,"OK",SONDERZAHLUNGEN!$F$9:$F$128,"Ja")-G453))</x:f>
      </x:c>
    </x:row>
    <x:row r="454" ht="19" customHeight="1">
      <x:c r="A454" s="90" t="n">
        <x:f>MONATSBUDGET!$A$29</x:f>
        <x:v>46874</x:v>
      </x:c>
      <x:c r="B454" t="n">
        <x:f>15</x:f>
        <x:v>15</x:v>
      </x:c>
      <x:c r="C454" t="str">
        <x:f>IF($N$23="","",$N$23)</x:f>
      </x:c>
      <x:c r="D454" s="88" t="str">
        <x:f>IF(C454="","",I434)</x:f>
      </x:c>
      <x:c r="E454" s="88" t="str">
        <x:f>IF(C454="","",ROUND(D454*$P$23/12,2))</x:f>
      </x:c>
      <x:c r="F454" s="88" t="str">
        <x:f>IF(C454="","",MIN(D454+E454,$Q$23))</x:f>
      </x:c>
      <x:c r="G454" s="88" t="str">
        <x:f>IF(C454="","",MIN(MAX(0,D454+E454-F454),SUMIFS(SONDERZAHLUNGEN!$E$9:$E$128,SONDERZAHLUNGEN!$B$9:$B$128,C454,SONDERZAHLUNGEN!$C$9:$C$128,A454,SONDERZAHLUNGEN!$H$9:$H$128,"OK",SONDERZAHLUNGEN!$F$9:$F$128,"Ja")))</x:f>
      </x:c>
      <x:c r="H454" s="88" t="str">
        <x:f>IF(C454="","",MIN(MAX(0,D454+E454-F454-G454),MAX(0,IF(MONATSBUDGET!$C$29="",0,MONATSBUDGET!$C$29)-SUM(F440:F459)-SUM(H440:H453))))</x:f>
      </x:c>
      <x:c r="I454" s="88" t="str">
        <x:f>IF(C454="","",MAX(0,ROUND(D454+E454-F454-G454-H454,2)))</x:f>
      </x:c>
      <x:c r="J454" s="88" t="str">
        <x:f>IF(C454="","",F454+G454+H454)</x:f>
      </x:c>
      <x:c r="K454" s="88" t="str">
        <x:f>IF(C454="","",MAX(0,SUMIFS(SONDERZAHLUNGEN!$E$9:$E$128,SONDERZAHLUNGEN!$B$9:$B$128,C454,SONDERZAHLUNGEN!$C$9:$C$128,A454,SONDERZAHLUNGEN!$H$9:$H$128,"OK",SONDERZAHLUNGEN!$F$9:$F$128,"Ja")-G454))</x:f>
      </x:c>
    </x:row>
    <x:row r="455" ht="19" customHeight="1">
      <x:c r="A455" s="90" t="n">
        <x:f>MONATSBUDGET!$A$29</x:f>
        <x:v>46874</x:v>
      </x:c>
      <x:c r="B455" t="n">
        <x:f>16</x:f>
        <x:v>16</x:v>
      </x:c>
      <x:c r="C455" t="str">
        <x:f>IF($N$24="","",$N$24)</x:f>
      </x:c>
      <x:c r="D455" s="88" t="str">
        <x:f>IF(C455="","",I435)</x:f>
      </x:c>
      <x:c r="E455" s="88" t="str">
        <x:f>IF(C455="","",ROUND(D455*$P$24/12,2))</x:f>
      </x:c>
      <x:c r="F455" s="88" t="str">
        <x:f>IF(C455="","",MIN(D455+E455,$Q$24))</x:f>
      </x:c>
      <x:c r="G455" s="88" t="str">
        <x:f>IF(C455="","",MIN(MAX(0,D455+E455-F455),SUMIFS(SONDERZAHLUNGEN!$E$9:$E$128,SONDERZAHLUNGEN!$B$9:$B$128,C455,SONDERZAHLUNGEN!$C$9:$C$128,A455,SONDERZAHLUNGEN!$H$9:$H$128,"OK",SONDERZAHLUNGEN!$F$9:$F$128,"Ja")))</x:f>
      </x:c>
      <x:c r="H455" s="88" t="str">
        <x:f>IF(C455="","",MIN(MAX(0,D455+E455-F455-G455),MAX(0,IF(MONATSBUDGET!$C$29="",0,MONATSBUDGET!$C$29)-SUM(F440:F459)-SUM(H440:H454))))</x:f>
      </x:c>
      <x:c r="I455" s="88" t="str">
        <x:f>IF(C455="","",MAX(0,ROUND(D455+E455-F455-G455-H455,2)))</x:f>
      </x:c>
      <x:c r="J455" s="88" t="str">
        <x:f>IF(C455="","",F455+G455+H455)</x:f>
      </x:c>
      <x:c r="K455" s="88" t="str">
        <x:f>IF(C455="","",MAX(0,SUMIFS(SONDERZAHLUNGEN!$E$9:$E$128,SONDERZAHLUNGEN!$B$9:$B$128,C455,SONDERZAHLUNGEN!$C$9:$C$128,A455,SONDERZAHLUNGEN!$H$9:$H$128,"OK",SONDERZAHLUNGEN!$F$9:$F$128,"Ja")-G455))</x:f>
      </x:c>
    </x:row>
    <x:row r="456" ht="19" customHeight="1">
      <x:c r="A456" s="90" t="n">
        <x:f>MONATSBUDGET!$A$29</x:f>
        <x:v>46874</x:v>
      </x:c>
      <x:c r="B456" t="n">
        <x:f>17</x:f>
        <x:v>17</x:v>
      </x:c>
      <x:c r="C456" t="str">
        <x:f>IF($N$25="","",$N$25)</x:f>
      </x:c>
      <x:c r="D456" s="88" t="str">
        <x:f>IF(C456="","",I436)</x:f>
      </x:c>
      <x:c r="E456" s="88" t="str">
        <x:f>IF(C456="","",ROUND(D456*$P$25/12,2))</x:f>
      </x:c>
      <x:c r="F456" s="88" t="str">
        <x:f>IF(C456="","",MIN(D456+E456,$Q$25))</x:f>
      </x:c>
      <x:c r="G456" s="88" t="str">
        <x:f>IF(C456="","",MIN(MAX(0,D456+E456-F456),SUMIFS(SONDERZAHLUNGEN!$E$9:$E$128,SONDERZAHLUNGEN!$B$9:$B$128,C456,SONDERZAHLUNGEN!$C$9:$C$128,A456,SONDERZAHLUNGEN!$H$9:$H$128,"OK",SONDERZAHLUNGEN!$F$9:$F$128,"Ja")))</x:f>
      </x:c>
      <x:c r="H456" s="88" t="str">
        <x:f>IF(C456="","",MIN(MAX(0,D456+E456-F456-G456),MAX(0,IF(MONATSBUDGET!$C$29="",0,MONATSBUDGET!$C$29)-SUM(F440:F459)-SUM(H440:H455))))</x:f>
      </x:c>
      <x:c r="I456" s="88" t="str">
        <x:f>IF(C456="","",MAX(0,ROUND(D456+E456-F456-G456-H456,2)))</x:f>
      </x:c>
      <x:c r="J456" s="88" t="str">
        <x:f>IF(C456="","",F456+G456+H456)</x:f>
      </x:c>
      <x:c r="K456" s="88" t="str">
        <x:f>IF(C456="","",MAX(0,SUMIFS(SONDERZAHLUNGEN!$E$9:$E$128,SONDERZAHLUNGEN!$B$9:$B$128,C456,SONDERZAHLUNGEN!$C$9:$C$128,A456,SONDERZAHLUNGEN!$H$9:$H$128,"OK",SONDERZAHLUNGEN!$F$9:$F$128,"Ja")-G456))</x:f>
      </x:c>
    </x:row>
    <x:row r="457" ht="19" customHeight="1">
      <x:c r="A457" s="90" t="n">
        <x:f>MONATSBUDGET!$A$29</x:f>
        <x:v>46874</x:v>
      </x:c>
      <x:c r="B457" t="n">
        <x:f>18</x:f>
        <x:v>18</x:v>
      </x:c>
      <x:c r="C457" t="str">
        <x:f>IF($N$26="","",$N$26)</x:f>
      </x:c>
      <x:c r="D457" s="88" t="str">
        <x:f>IF(C457="","",I437)</x:f>
      </x:c>
      <x:c r="E457" s="88" t="str">
        <x:f>IF(C457="","",ROUND(D457*$P$26/12,2))</x:f>
      </x:c>
      <x:c r="F457" s="88" t="str">
        <x:f>IF(C457="","",MIN(D457+E457,$Q$26))</x:f>
      </x:c>
      <x:c r="G457" s="88" t="str">
        <x:f>IF(C457="","",MIN(MAX(0,D457+E457-F457),SUMIFS(SONDERZAHLUNGEN!$E$9:$E$128,SONDERZAHLUNGEN!$B$9:$B$128,C457,SONDERZAHLUNGEN!$C$9:$C$128,A457,SONDERZAHLUNGEN!$H$9:$H$128,"OK",SONDERZAHLUNGEN!$F$9:$F$128,"Ja")))</x:f>
      </x:c>
      <x:c r="H457" s="88" t="str">
        <x:f>IF(C457="","",MIN(MAX(0,D457+E457-F457-G457),MAX(0,IF(MONATSBUDGET!$C$29="",0,MONATSBUDGET!$C$29)-SUM(F440:F459)-SUM(H440:H456))))</x:f>
      </x:c>
      <x:c r="I457" s="88" t="str">
        <x:f>IF(C457="","",MAX(0,ROUND(D457+E457-F457-G457-H457,2)))</x:f>
      </x:c>
      <x:c r="J457" s="88" t="str">
        <x:f>IF(C457="","",F457+G457+H457)</x:f>
      </x:c>
      <x:c r="K457" s="88" t="str">
        <x:f>IF(C457="","",MAX(0,SUMIFS(SONDERZAHLUNGEN!$E$9:$E$128,SONDERZAHLUNGEN!$B$9:$B$128,C457,SONDERZAHLUNGEN!$C$9:$C$128,A457,SONDERZAHLUNGEN!$H$9:$H$128,"OK",SONDERZAHLUNGEN!$F$9:$F$128,"Ja")-G457))</x:f>
      </x:c>
    </x:row>
    <x:row r="458" ht="19" customHeight="1">
      <x:c r="A458" s="90" t="n">
        <x:f>MONATSBUDGET!$A$29</x:f>
        <x:v>46874</x:v>
      </x:c>
      <x:c r="B458" t="n">
        <x:f>19</x:f>
        <x:v>19</x:v>
      </x:c>
      <x:c r="C458" t="str">
        <x:f>IF($N$27="","",$N$27)</x:f>
      </x:c>
      <x:c r="D458" s="88" t="str">
        <x:f>IF(C458="","",I438)</x:f>
      </x:c>
      <x:c r="E458" s="88" t="str">
        <x:f>IF(C458="","",ROUND(D458*$P$27/12,2))</x:f>
      </x:c>
      <x:c r="F458" s="88" t="str">
        <x:f>IF(C458="","",MIN(D458+E458,$Q$27))</x:f>
      </x:c>
      <x:c r="G458" s="88" t="str">
        <x:f>IF(C458="","",MIN(MAX(0,D458+E458-F458),SUMIFS(SONDERZAHLUNGEN!$E$9:$E$128,SONDERZAHLUNGEN!$B$9:$B$128,C458,SONDERZAHLUNGEN!$C$9:$C$128,A458,SONDERZAHLUNGEN!$H$9:$H$128,"OK",SONDERZAHLUNGEN!$F$9:$F$128,"Ja")))</x:f>
      </x:c>
      <x:c r="H458" s="88" t="str">
        <x:f>IF(C458="","",MIN(MAX(0,D458+E458-F458-G458),MAX(0,IF(MONATSBUDGET!$C$29="",0,MONATSBUDGET!$C$29)-SUM(F440:F459)-SUM(H440:H457))))</x:f>
      </x:c>
      <x:c r="I458" s="88" t="str">
        <x:f>IF(C458="","",MAX(0,ROUND(D458+E458-F458-G458-H458,2)))</x:f>
      </x:c>
      <x:c r="J458" s="88" t="str">
        <x:f>IF(C458="","",F458+G458+H458)</x:f>
      </x:c>
      <x:c r="K458" s="88" t="str">
        <x:f>IF(C458="","",MAX(0,SUMIFS(SONDERZAHLUNGEN!$E$9:$E$128,SONDERZAHLUNGEN!$B$9:$B$128,C458,SONDERZAHLUNGEN!$C$9:$C$128,A458,SONDERZAHLUNGEN!$H$9:$H$128,"OK",SONDERZAHLUNGEN!$F$9:$F$128,"Ja")-G458))</x:f>
      </x:c>
    </x:row>
    <x:row r="459" ht="19" customHeight="1">
      <x:c r="A459" s="90" t="n">
        <x:f>MONATSBUDGET!$A$29</x:f>
        <x:v>46874</x:v>
      </x:c>
      <x:c r="B459" t="n">
        <x:f>20</x:f>
        <x:v>20</x:v>
      </x:c>
      <x:c r="C459" t="str">
        <x:f>IF($N$28="","",$N$28)</x:f>
      </x:c>
      <x:c r="D459" s="88" t="str">
        <x:f>IF(C459="","",I439)</x:f>
      </x:c>
      <x:c r="E459" s="88" t="str">
        <x:f>IF(C459="","",ROUND(D459*$P$28/12,2))</x:f>
      </x:c>
      <x:c r="F459" s="88" t="str">
        <x:f>IF(C459="","",MIN(D459+E459,$Q$28))</x:f>
      </x:c>
      <x:c r="G459" s="88" t="str">
        <x:f>IF(C459="","",MIN(MAX(0,D459+E459-F459),SUMIFS(SONDERZAHLUNGEN!$E$9:$E$128,SONDERZAHLUNGEN!$B$9:$B$128,C459,SONDERZAHLUNGEN!$C$9:$C$128,A459,SONDERZAHLUNGEN!$H$9:$H$128,"OK",SONDERZAHLUNGEN!$F$9:$F$128,"Ja")))</x:f>
      </x:c>
      <x:c r="H459" s="88" t="str">
        <x:f>IF(C459="","",MIN(MAX(0,D459+E459-F459-G459),MAX(0,IF(MONATSBUDGET!$C$29="",0,MONATSBUDGET!$C$29)-SUM(F440:F459)-SUM(H440:H458))))</x:f>
      </x:c>
      <x:c r="I459" s="88" t="str">
        <x:f>IF(C459="","",MAX(0,ROUND(D459+E459-F459-G459-H459,2)))</x:f>
      </x:c>
      <x:c r="J459" s="88" t="str">
        <x:f>IF(C459="","",F459+G459+H459)</x:f>
      </x:c>
      <x:c r="K459" s="88" t="str">
        <x:f>IF(C459="","",MAX(0,SUMIFS(SONDERZAHLUNGEN!$E$9:$E$128,SONDERZAHLUNGEN!$B$9:$B$128,C459,SONDERZAHLUNGEN!$C$9:$C$128,A459,SONDERZAHLUNGEN!$H$9:$H$128,"OK",SONDERZAHLUNGEN!$F$9:$F$128,"Ja")-G459))</x:f>
      </x:c>
    </x:row>
    <x:row r="460" ht="19" customHeight="1">
      <x:c r="A460" s="90" t="n">
        <x:f>MONATSBUDGET!$A$30</x:f>
        <x:v>46905</x:v>
      </x:c>
      <x:c r="B460" t="n">
        <x:f>1</x:f>
        <x:v>1</x:v>
      </x:c>
      <x:c r="C460" t="str">
        <x:f>IF($N$9="","",$N$9)</x:f>
      </x:c>
      <x:c r="D460" s="88" t="str">
        <x:f>IF(C460="","",I440)</x:f>
      </x:c>
      <x:c r="E460" s="88" t="str">
        <x:f>IF(C460="","",ROUND(D460*$P$9/12,2))</x:f>
      </x:c>
      <x:c r="F460" s="88" t="str">
        <x:f>IF(C460="","",MIN(D460+E460,$Q$9))</x:f>
      </x:c>
      <x:c r="G460" s="88" t="str">
        <x:f>IF(C460="","",MIN(MAX(0,D460+E460-F460),SUMIFS(SONDERZAHLUNGEN!$E$9:$E$128,SONDERZAHLUNGEN!$B$9:$B$128,C460,SONDERZAHLUNGEN!$C$9:$C$128,A460,SONDERZAHLUNGEN!$H$9:$H$128,"OK",SONDERZAHLUNGEN!$F$9:$F$128,"Ja")))</x:f>
      </x:c>
      <x:c r="H460" s="88" t="str">
        <x:f>IF(C460="","",MIN(MAX(0,D460+E460-F460-G460),MAX(0,IF(MONATSBUDGET!$C$30="",0,MONATSBUDGET!$C$30)-SUM(F460:F479)-0)))</x:f>
      </x:c>
      <x:c r="I460" s="88" t="str">
        <x:f>IF(C460="","",MAX(0,ROUND(D460+E460-F460-G460-H460,2)))</x:f>
      </x:c>
      <x:c r="J460" s="88" t="str">
        <x:f>IF(C460="","",F460+G460+H460)</x:f>
      </x:c>
      <x:c r="K460" s="88" t="str">
        <x:f>IF(C460="","",MAX(0,SUMIFS(SONDERZAHLUNGEN!$E$9:$E$128,SONDERZAHLUNGEN!$B$9:$B$128,C460,SONDERZAHLUNGEN!$C$9:$C$128,A460,SONDERZAHLUNGEN!$H$9:$H$128,"OK",SONDERZAHLUNGEN!$F$9:$F$128,"Ja")-G460))</x:f>
      </x:c>
    </x:row>
    <x:row r="461" ht="19" customHeight="1">
      <x:c r="A461" s="90" t="n">
        <x:f>MONATSBUDGET!$A$30</x:f>
        <x:v>46905</x:v>
      </x:c>
      <x:c r="B461" t="n">
        <x:f>2</x:f>
        <x:v>2</x:v>
      </x:c>
      <x:c r="C461" t="str">
        <x:f>IF($N$10="","",$N$10)</x:f>
      </x:c>
      <x:c r="D461" s="88" t="str">
        <x:f>IF(C461="","",I441)</x:f>
      </x:c>
      <x:c r="E461" s="88" t="str">
        <x:f>IF(C461="","",ROUND(D461*$P$10/12,2))</x:f>
      </x:c>
      <x:c r="F461" s="88" t="str">
        <x:f>IF(C461="","",MIN(D461+E461,$Q$10))</x:f>
      </x:c>
      <x:c r="G461" s="88" t="str">
        <x:f>IF(C461="","",MIN(MAX(0,D461+E461-F461),SUMIFS(SONDERZAHLUNGEN!$E$9:$E$128,SONDERZAHLUNGEN!$B$9:$B$128,C461,SONDERZAHLUNGEN!$C$9:$C$128,A461,SONDERZAHLUNGEN!$H$9:$H$128,"OK",SONDERZAHLUNGEN!$F$9:$F$128,"Ja")))</x:f>
      </x:c>
      <x:c r="H461" s="88" t="str">
        <x:f>IF(C461="","",MIN(MAX(0,D461+E461-F461-G461),MAX(0,IF(MONATSBUDGET!$C$30="",0,MONATSBUDGET!$C$30)-SUM(F460:F479)-SUM(H460:H460))))</x:f>
      </x:c>
      <x:c r="I461" s="88" t="str">
        <x:f>IF(C461="","",MAX(0,ROUND(D461+E461-F461-G461-H461,2)))</x:f>
      </x:c>
      <x:c r="J461" s="88" t="str">
        <x:f>IF(C461="","",F461+G461+H461)</x:f>
      </x:c>
      <x:c r="K461" s="88" t="str">
        <x:f>IF(C461="","",MAX(0,SUMIFS(SONDERZAHLUNGEN!$E$9:$E$128,SONDERZAHLUNGEN!$B$9:$B$128,C461,SONDERZAHLUNGEN!$C$9:$C$128,A461,SONDERZAHLUNGEN!$H$9:$H$128,"OK",SONDERZAHLUNGEN!$F$9:$F$128,"Ja")-G461))</x:f>
      </x:c>
    </x:row>
    <x:row r="462" ht="19" customHeight="1">
      <x:c r="A462" s="90" t="n">
        <x:f>MONATSBUDGET!$A$30</x:f>
        <x:v>46905</x:v>
      </x:c>
      <x:c r="B462" t="n">
        <x:f>3</x:f>
        <x:v>3</x:v>
      </x:c>
      <x:c r="C462" t="str">
        <x:f>IF($N$11="","",$N$11)</x:f>
      </x:c>
      <x:c r="D462" s="88" t="str">
        <x:f>IF(C462="","",I442)</x:f>
      </x:c>
      <x:c r="E462" s="88" t="str">
        <x:f>IF(C462="","",ROUND(D462*$P$11/12,2))</x:f>
      </x:c>
      <x:c r="F462" s="88" t="str">
        <x:f>IF(C462="","",MIN(D462+E462,$Q$11))</x:f>
      </x:c>
      <x:c r="G462" s="88" t="str">
        <x:f>IF(C462="","",MIN(MAX(0,D462+E462-F462),SUMIFS(SONDERZAHLUNGEN!$E$9:$E$128,SONDERZAHLUNGEN!$B$9:$B$128,C462,SONDERZAHLUNGEN!$C$9:$C$128,A462,SONDERZAHLUNGEN!$H$9:$H$128,"OK",SONDERZAHLUNGEN!$F$9:$F$128,"Ja")))</x:f>
      </x:c>
      <x:c r="H462" s="88" t="str">
        <x:f>IF(C462="","",MIN(MAX(0,D462+E462-F462-G462),MAX(0,IF(MONATSBUDGET!$C$30="",0,MONATSBUDGET!$C$30)-SUM(F460:F479)-SUM(H460:H461))))</x:f>
      </x:c>
      <x:c r="I462" s="88" t="str">
        <x:f>IF(C462="","",MAX(0,ROUND(D462+E462-F462-G462-H462,2)))</x:f>
      </x:c>
      <x:c r="J462" s="88" t="str">
        <x:f>IF(C462="","",F462+G462+H462)</x:f>
      </x:c>
      <x:c r="K462" s="88" t="str">
        <x:f>IF(C462="","",MAX(0,SUMIFS(SONDERZAHLUNGEN!$E$9:$E$128,SONDERZAHLUNGEN!$B$9:$B$128,C462,SONDERZAHLUNGEN!$C$9:$C$128,A462,SONDERZAHLUNGEN!$H$9:$H$128,"OK",SONDERZAHLUNGEN!$F$9:$F$128,"Ja")-G462))</x:f>
      </x:c>
    </x:row>
    <x:row r="463" ht="19" customHeight="1">
      <x:c r="A463" s="90" t="n">
        <x:f>MONATSBUDGET!$A$30</x:f>
        <x:v>46905</x:v>
      </x:c>
      <x:c r="B463" t="n">
        <x:f>4</x:f>
        <x:v>4</x:v>
      </x:c>
      <x:c r="C463" t="str">
        <x:f>IF($N$12="","",$N$12)</x:f>
      </x:c>
      <x:c r="D463" s="88" t="str">
        <x:f>IF(C463="","",I443)</x:f>
      </x:c>
      <x:c r="E463" s="88" t="str">
        <x:f>IF(C463="","",ROUND(D463*$P$12/12,2))</x:f>
      </x:c>
      <x:c r="F463" s="88" t="str">
        <x:f>IF(C463="","",MIN(D463+E463,$Q$12))</x:f>
      </x:c>
      <x:c r="G463" s="88" t="str">
        <x:f>IF(C463="","",MIN(MAX(0,D463+E463-F463),SUMIFS(SONDERZAHLUNGEN!$E$9:$E$128,SONDERZAHLUNGEN!$B$9:$B$128,C463,SONDERZAHLUNGEN!$C$9:$C$128,A463,SONDERZAHLUNGEN!$H$9:$H$128,"OK",SONDERZAHLUNGEN!$F$9:$F$128,"Ja")))</x:f>
      </x:c>
      <x:c r="H463" s="88" t="str">
        <x:f>IF(C463="","",MIN(MAX(0,D463+E463-F463-G463),MAX(0,IF(MONATSBUDGET!$C$30="",0,MONATSBUDGET!$C$30)-SUM(F460:F479)-SUM(H460:H462))))</x:f>
      </x:c>
      <x:c r="I463" s="88" t="str">
        <x:f>IF(C463="","",MAX(0,ROUND(D463+E463-F463-G463-H463,2)))</x:f>
      </x:c>
      <x:c r="J463" s="88" t="str">
        <x:f>IF(C463="","",F463+G463+H463)</x:f>
      </x:c>
      <x:c r="K463" s="88" t="str">
        <x:f>IF(C463="","",MAX(0,SUMIFS(SONDERZAHLUNGEN!$E$9:$E$128,SONDERZAHLUNGEN!$B$9:$B$128,C463,SONDERZAHLUNGEN!$C$9:$C$128,A463,SONDERZAHLUNGEN!$H$9:$H$128,"OK",SONDERZAHLUNGEN!$F$9:$F$128,"Ja")-G463))</x:f>
      </x:c>
    </x:row>
    <x:row r="464" ht="19" customHeight="1">
      <x:c r="A464" s="90" t="n">
        <x:f>MONATSBUDGET!$A$30</x:f>
        <x:v>46905</x:v>
      </x:c>
      <x:c r="B464" t="n">
        <x:f>5</x:f>
        <x:v>5</x:v>
      </x:c>
      <x:c r="C464" t="str">
        <x:f>IF($N$13="","",$N$13)</x:f>
      </x:c>
      <x:c r="D464" s="88" t="str">
        <x:f>IF(C464="","",I444)</x:f>
      </x:c>
      <x:c r="E464" s="88" t="str">
        <x:f>IF(C464="","",ROUND(D464*$P$13/12,2))</x:f>
      </x:c>
      <x:c r="F464" s="88" t="str">
        <x:f>IF(C464="","",MIN(D464+E464,$Q$13))</x:f>
      </x:c>
      <x:c r="G464" s="88" t="str">
        <x:f>IF(C464="","",MIN(MAX(0,D464+E464-F464),SUMIFS(SONDERZAHLUNGEN!$E$9:$E$128,SONDERZAHLUNGEN!$B$9:$B$128,C464,SONDERZAHLUNGEN!$C$9:$C$128,A464,SONDERZAHLUNGEN!$H$9:$H$128,"OK",SONDERZAHLUNGEN!$F$9:$F$128,"Ja")))</x:f>
      </x:c>
      <x:c r="H464" s="88" t="str">
        <x:f>IF(C464="","",MIN(MAX(0,D464+E464-F464-G464),MAX(0,IF(MONATSBUDGET!$C$30="",0,MONATSBUDGET!$C$30)-SUM(F460:F479)-SUM(H460:H463))))</x:f>
      </x:c>
      <x:c r="I464" s="88" t="str">
        <x:f>IF(C464="","",MAX(0,ROUND(D464+E464-F464-G464-H464,2)))</x:f>
      </x:c>
      <x:c r="J464" s="88" t="str">
        <x:f>IF(C464="","",F464+G464+H464)</x:f>
      </x:c>
      <x:c r="K464" s="88" t="str">
        <x:f>IF(C464="","",MAX(0,SUMIFS(SONDERZAHLUNGEN!$E$9:$E$128,SONDERZAHLUNGEN!$B$9:$B$128,C464,SONDERZAHLUNGEN!$C$9:$C$128,A464,SONDERZAHLUNGEN!$H$9:$H$128,"OK",SONDERZAHLUNGEN!$F$9:$F$128,"Ja")-G464))</x:f>
      </x:c>
    </x:row>
    <x:row r="465" ht="19" customHeight="1">
      <x:c r="A465" s="90" t="n">
        <x:f>MONATSBUDGET!$A$30</x:f>
        <x:v>46905</x:v>
      </x:c>
      <x:c r="B465" t="n">
        <x:f>6</x:f>
        <x:v>6</x:v>
      </x:c>
      <x:c r="C465" t="str">
        <x:f>IF($N$14="","",$N$14)</x:f>
      </x:c>
      <x:c r="D465" s="88" t="str">
        <x:f>IF(C465="","",I445)</x:f>
      </x:c>
      <x:c r="E465" s="88" t="str">
        <x:f>IF(C465="","",ROUND(D465*$P$14/12,2))</x:f>
      </x:c>
      <x:c r="F465" s="88" t="str">
        <x:f>IF(C465="","",MIN(D465+E465,$Q$14))</x:f>
      </x:c>
      <x:c r="G465" s="88" t="str">
        <x:f>IF(C465="","",MIN(MAX(0,D465+E465-F465),SUMIFS(SONDERZAHLUNGEN!$E$9:$E$128,SONDERZAHLUNGEN!$B$9:$B$128,C465,SONDERZAHLUNGEN!$C$9:$C$128,A465,SONDERZAHLUNGEN!$H$9:$H$128,"OK",SONDERZAHLUNGEN!$F$9:$F$128,"Ja")))</x:f>
      </x:c>
      <x:c r="H465" s="88" t="str">
        <x:f>IF(C465="","",MIN(MAX(0,D465+E465-F465-G465),MAX(0,IF(MONATSBUDGET!$C$30="",0,MONATSBUDGET!$C$30)-SUM(F460:F479)-SUM(H460:H464))))</x:f>
      </x:c>
      <x:c r="I465" s="88" t="str">
        <x:f>IF(C465="","",MAX(0,ROUND(D465+E465-F465-G465-H465,2)))</x:f>
      </x:c>
      <x:c r="J465" s="88" t="str">
        <x:f>IF(C465="","",F465+G465+H465)</x:f>
      </x:c>
      <x:c r="K465" s="88" t="str">
        <x:f>IF(C465="","",MAX(0,SUMIFS(SONDERZAHLUNGEN!$E$9:$E$128,SONDERZAHLUNGEN!$B$9:$B$128,C465,SONDERZAHLUNGEN!$C$9:$C$128,A465,SONDERZAHLUNGEN!$H$9:$H$128,"OK",SONDERZAHLUNGEN!$F$9:$F$128,"Ja")-G465))</x:f>
      </x:c>
    </x:row>
    <x:row r="466" ht="19" customHeight="1">
      <x:c r="A466" s="90" t="n">
        <x:f>MONATSBUDGET!$A$30</x:f>
        <x:v>46905</x:v>
      </x:c>
      <x:c r="B466" t="n">
        <x:f>7</x:f>
        <x:v>7</x:v>
      </x:c>
      <x:c r="C466" t="str">
        <x:f>IF($N$15="","",$N$15)</x:f>
      </x:c>
      <x:c r="D466" s="88" t="str">
        <x:f>IF(C466="","",I446)</x:f>
      </x:c>
      <x:c r="E466" s="88" t="str">
        <x:f>IF(C466="","",ROUND(D466*$P$15/12,2))</x:f>
      </x:c>
      <x:c r="F466" s="88" t="str">
        <x:f>IF(C466="","",MIN(D466+E466,$Q$15))</x:f>
      </x:c>
      <x:c r="G466" s="88" t="str">
        <x:f>IF(C466="","",MIN(MAX(0,D466+E466-F466),SUMIFS(SONDERZAHLUNGEN!$E$9:$E$128,SONDERZAHLUNGEN!$B$9:$B$128,C466,SONDERZAHLUNGEN!$C$9:$C$128,A466,SONDERZAHLUNGEN!$H$9:$H$128,"OK",SONDERZAHLUNGEN!$F$9:$F$128,"Ja")))</x:f>
      </x:c>
      <x:c r="H466" s="88" t="str">
        <x:f>IF(C466="","",MIN(MAX(0,D466+E466-F466-G466),MAX(0,IF(MONATSBUDGET!$C$30="",0,MONATSBUDGET!$C$30)-SUM(F460:F479)-SUM(H460:H465))))</x:f>
      </x:c>
      <x:c r="I466" s="88" t="str">
        <x:f>IF(C466="","",MAX(0,ROUND(D466+E466-F466-G466-H466,2)))</x:f>
      </x:c>
      <x:c r="J466" s="88" t="str">
        <x:f>IF(C466="","",F466+G466+H466)</x:f>
      </x:c>
      <x:c r="K466" s="88" t="str">
        <x:f>IF(C466="","",MAX(0,SUMIFS(SONDERZAHLUNGEN!$E$9:$E$128,SONDERZAHLUNGEN!$B$9:$B$128,C466,SONDERZAHLUNGEN!$C$9:$C$128,A466,SONDERZAHLUNGEN!$H$9:$H$128,"OK",SONDERZAHLUNGEN!$F$9:$F$128,"Ja")-G466))</x:f>
      </x:c>
    </x:row>
    <x:row r="467" ht="19" customHeight="1">
      <x:c r="A467" s="90" t="n">
        <x:f>MONATSBUDGET!$A$30</x:f>
        <x:v>46905</x:v>
      </x:c>
      <x:c r="B467" t="n">
        <x:f>8</x:f>
        <x:v>8</x:v>
      </x:c>
      <x:c r="C467" t="str">
        <x:f>IF($N$16="","",$N$16)</x:f>
      </x:c>
      <x:c r="D467" s="88" t="str">
        <x:f>IF(C467="","",I447)</x:f>
      </x:c>
      <x:c r="E467" s="88" t="str">
        <x:f>IF(C467="","",ROUND(D467*$P$16/12,2))</x:f>
      </x:c>
      <x:c r="F467" s="88" t="str">
        <x:f>IF(C467="","",MIN(D467+E467,$Q$16))</x:f>
      </x:c>
      <x:c r="G467" s="88" t="str">
        <x:f>IF(C467="","",MIN(MAX(0,D467+E467-F467),SUMIFS(SONDERZAHLUNGEN!$E$9:$E$128,SONDERZAHLUNGEN!$B$9:$B$128,C467,SONDERZAHLUNGEN!$C$9:$C$128,A467,SONDERZAHLUNGEN!$H$9:$H$128,"OK",SONDERZAHLUNGEN!$F$9:$F$128,"Ja")))</x:f>
      </x:c>
      <x:c r="H467" s="88" t="str">
        <x:f>IF(C467="","",MIN(MAX(0,D467+E467-F467-G467),MAX(0,IF(MONATSBUDGET!$C$30="",0,MONATSBUDGET!$C$30)-SUM(F460:F479)-SUM(H460:H466))))</x:f>
      </x:c>
      <x:c r="I467" s="88" t="str">
        <x:f>IF(C467="","",MAX(0,ROUND(D467+E467-F467-G467-H467,2)))</x:f>
      </x:c>
      <x:c r="J467" s="88" t="str">
        <x:f>IF(C467="","",F467+G467+H467)</x:f>
      </x:c>
      <x:c r="K467" s="88" t="str">
        <x:f>IF(C467="","",MAX(0,SUMIFS(SONDERZAHLUNGEN!$E$9:$E$128,SONDERZAHLUNGEN!$B$9:$B$128,C467,SONDERZAHLUNGEN!$C$9:$C$128,A467,SONDERZAHLUNGEN!$H$9:$H$128,"OK",SONDERZAHLUNGEN!$F$9:$F$128,"Ja")-G467))</x:f>
      </x:c>
    </x:row>
    <x:row r="468" ht="19" customHeight="1">
      <x:c r="A468" s="90" t="n">
        <x:f>MONATSBUDGET!$A$30</x:f>
        <x:v>46905</x:v>
      </x:c>
      <x:c r="B468" t="n">
        <x:f>9</x:f>
        <x:v>9</x:v>
      </x:c>
      <x:c r="C468" t="str">
        <x:f>IF($N$17="","",$N$17)</x:f>
      </x:c>
      <x:c r="D468" s="88" t="str">
        <x:f>IF(C468="","",I448)</x:f>
      </x:c>
      <x:c r="E468" s="88" t="str">
        <x:f>IF(C468="","",ROUND(D468*$P$17/12,2))</x:f>
      </x:c>
      <x:c r="F468" s="88" t="str">
        <x:f>IF(C468="","",MIN(D468+E468,$Q$17))</x:f>
      </x:c>
      <x:c r="G468" s="88" t="str">
        <x:f>IF(C468="","",MIN(MAX(0,D468+E468-F468),SUMIFS(SONDERZAHLUNGEN!$E$9:$E$128,SONDERZAHLUNGEN!$B$9:$B$128,C468,SONDERZAHLUNGEN!$C$9:$C$128,A468,SONDERZAHLUNGEN!$H$9:$H$128,"OK",SONDERZAHLUNGEN!$F$9:$F$128,"Ja")))</x:f>
      </x:c>
      <x:c r="H468" s="88" t="str">
        <x:f>IF(C468="","",MIN(MAX(0,D468+E468-F468-G468),MAX(0,IF(MONATSBUDGET!$C$30="",0,MONATSBUDGET!$C$30)-SUM(F460:F479)-SUM(H460:H467))))</x:f>
      </x:c>
      <x:c r="I468" s="88" t="str">
        <x:f>IF(C468="","",MAX(0,ROUND(D468+E468-F468-G468-H468,2)))</x:f>
      </x:c>
      <x:c r="J468" s="88" t="str">
        <x:f>IF(C468="","",F468+G468+H468)</x:f>
      </x:c>
      <x:c r="K468" s="88" t="str">
        <x:f>IF(C468="","",MAX(0,SUMIFS(SONDERZAHLUNGEN!$E$9:$E$128,SONDERZAHLUNGEN!$B$9:$B$128,C468,SONDERZAHLUNGEN!$C$9:$C$128,A468,SONDERZAHLUNGEN!$H$9:$H$128,"OK",SONDERZAHLUNGEN!$F$9:$F$128,"Ja")-G468))</x:f>
      </x:c>
    </x:row>
    <x:row r="469" ht="19" customHeight="1">
      <x:c r="A469" s="90" t="n">
        <x:f>MONATSBUDGET!$A$30</x:f>
        <x:v>46905</x:v>
      </x:c>
      <x:c r="B469" t="n">
        <x:f>10</x:f>
        <x:v>10</x:v>
      </x:c>
      <x:c r="C469" t="str">
        <x:f>IF($N$18="","",$N$18)</x:f>
      </x:c>
      <x:c r="D469" s="88" t="str">
        <x:f>IF(C469="","",I449)</x:f>
      </x:c>
      <x:c r="E469" s="88" t="str">
        <x:f>IF(C469="","",ROUND(D469*$P$18/12,2))</x:f>
      </x:c>
      <x:c r="F469" s="88" t="str">
        <x:f>IF(C469="","",MIN(D469+E469,$Q$18))</x:f>
      </x:c>
      <x:c r="G469" s="88" t="str">
        <x:f>IF(C469="","",MIN(MAX(0,D469+E469-F469),SUMIFS(SONDERZAHLUNGEN!$E$9:$E$128,SONDERZAHLUNGEN!$B$9:$B$128,C469,SONDERZAHLUNGEN!$C$9:$C$128,A469,SONDERZAHLUNGEN!$H$9:$H$128,"OK",SONDERZAHLUNGEN!$F$9:$F$128,"Ja")))</x:f>
      </x:c>
      <x:c r="H469" s="88" t="str">
        <x:f>IF(C469="","",MIN(MAX(0,D469+E469-F469-G469),MAX(0,IF(MONATSBUDGET!$C$30="",0,MONATSBUDGET!$C$30)-SUM(F460:F479)-SUM(H460:H468))))</x:f>
      </x:c>
      <x:c r="I469" s="88" t="str">
        <x:f>IF(C469="","",MAX(0,ROUND(D469+E469-F469-G469-H469,2)))</x:f>
      </x:c>
      <x:c r="J469" s="88" t="str">
        <x:f>IF(C469="","",F469+G469+H469)</x:f>
      </x:c>
      <x:c r="K469" s="88" t="str">
        <x:f>IF(C469="","",MAX(0,SUMIFS(SONDERZAHLUNGEN!$E$9:$E$128,SONDERZAHLUNGEN!$B$9:$B$128,C469,SONDERZAHLUNGEN!$C$9:$C$128,A469,SONDERZAHLUNGEN!$H$9:$H$128,"OK",SONDERZAHLUNGEN!$F$9:$F$128,"Ja")-G469))</x:f>
      </x:c>
    </x:row>
    <x:row r="470" ht="19" customHeight="1">
      <x:c r="A470" s="90" t="n">
        <x:f>MONATSBUDGET!$A$30</x:f>
        <x:v>46905</x:v>
      </x:c>
      <x:c r="B470" t="n">
        <x:f>11</x:f>
        <x:v>11</x:v>
      </x:c>
      <x:c r="C470" t="str">
        <x:f>IF($N$19="","",$N$19)</x:f>
      </x:c>
      <x:c r="D470" s="88" t="str">
        <x:f>IF(C470="","",I450)</x:f>
      </x:c>
      <x:c r="E470" s="88" t="str">
        <x:f>IF(C470="","",ROUND(D470*$P$19/12,2))</x:f>
      </x:c>
      <x:c r="F470" s="88" t="str">
        <x:f>IF(C470="","",MIN(D470+E470,$Q$19))</x:f>
      </x:c>
      <x:c r="G470" s="88" t="str">
        <x:f>IF(C470="","",MIN(MAX(0,D470+E470-F470),SUMIFS(SONDERZAHLUNGEN!$E$9:$E$128,SONDERZAHLUNGEN!$B$9:$B$128,C470,SONDERZAHLUNGEN!$C$9:$C$128,A470,SONDERZAHLUNGEN!$H$9:$H$128,"OK",SONDERZAHLUNGEN!$F$9:$F$128,"Ja")))</x:f>
      </x:c>
      <x:c r="H470" s="88" t="str">
        <x:f>IF(C470="","",MIN(MAX(0,D470+E470-F470-G470),MAX(0,IF(MONATSBUDGET!$C$30="",0,MONATSBUDGET!$C$30)-SUM(F460:F479)-SUM(H460:H469))))</x:f>
      </x:c>
      <x:c r="I470" s="88" t="str">
        <x:f>IF(C470="","",MAX(0,ROUND(D470+E470-F470-G470-H470,2)))</x:f>
      </x:c>
      <x:c r="J470" s="88" t="str">
        <x:f>IF(C470="","",F470+G470+H470)</x:f>
      </x:c>
      <x:c r="K470" s="88" t="str">
        <x:f>IF(C470="","",MAX(0,SUMIFS(SONDERZAHLUNGEN!$E$9:$E$128,SONDERZAHLUNGEN!$B$9:$B$128,C470,SONDERZAHLUNGEN!$C$9:$C$128,A470,SONDERZAHLUNGEN!$H$9:$H$128,"OK",SONDERZAHLUNGEN!$F$9:$F$128,"Ja")-G470))</x:f>
      </x:c>
    </x:row>
    <x:row r="471" ht="19" customHeight="1">
      <x:c r="A471" s="90" t="n">
        <x:f>MONATSBUDGET!$A$30</x:f>
        <x:v>46905</x:v>
      </x:c>
      <x:c r="B471" t="n">
        <x:f>12</x:f>
        <x:v>12</x:v>
      </x:c>
      <x:c r="C471" t="str">
        <x:f>IF($N$20="","",$N$20)</x:f>
      </x:c>
      <x:c r="D471" s="88" t="str">
        <x:f>IF(C471="","",I451)</x:f>
      </x:c>
      <x:c r="E471" s="88" t="str">
        <x:f>IF(C471="","",ROUND(D471*$P$20/12,2))</x:f>
      </x:c>
      <x:c r="F471" s="88" t="str">
        <x:f>IF(C471="","",MIN(D471+E471,$Q$20))</x:f>
      </x:c>
      <x:c r="G471" s="88" t="str">
        <x:f>IF(C471="","",MIN(MAX(0,D471+E471-F471),SUMIFS(SONDERZAHLUNGEN!$E$9:$E$128,SONDERZAHLUNGEN!$B$9:$B$128,C471,SONDERZAHLUNGEN!$C$9:$C$128,A471,SONDERZAHLUNGEN!$H$9:$H$128,"OK",SONDERZAHLUNGEN!$F$9:$F$128,"Ja")))</x:f>
      </x:c>
      <x:c r="H471" s="88" t="str">
        <x:f>IF(C471="","",MIN(MAX(0,D471+E471-F471-G471),MAX(0,IF(MONATSBUDGET!$C$30="",0,MONATSBUDGET!$C$30)-SUM(F460:F479)-SUM(H460:H470))))</x:f>
      </x:c>
      <x:c r="I471" s="88" t="str">
        <x:f>IF(C471="","",MAX(0,ROUND(D471+E471-F471-G471-H471,2)))</x:f>
      </x:c>
      <x:c r="J471" s="88" t="str">
        <x:f>IF(C471="","",F471+G471+H471)</x:f>
      </x:c>
      <x:c r="K471" s="88" t="str">
        <x:f>IF(C471="","",MAX(0,SUMIFS(SONDERZAHLUNGEN!$E$9:$E$128,SONDERZAHLUNGEN!$B$9:$B$128,C471,SONDERZAHLUNGEN!$C$9:$C$128,A471,SONDERZAHLUNGEN!$H$9:$H$128,"OK",SONDERZAHLUNGEN!$F$9:$F$128,"Ja")-G471))</x:f>
      </x:c>
    </x:row>
    <x:row r="472" ht="19" customHeight="1">
      <x:c r="A472" s="90" t="n">
        <x:f>MONATSBUDGET!$A$30</x:f>
        <x:v>46905</x:v>
      </x:c>
      <x:c r="B472" t="n">
        <x:f>13</x:f>
        <x:v>13</x:v>
      </x:c>
      <x:c r="C472" t="str">
        <x:f>IF($N$21="","",$N$21)</x:f>
      </x:c>
      <x:c r="D472" s="88" t="str">
        <x:f>IF(C472="","",I452)</x:f>
      </x:c>
      <x:c r="E472" s="88" t="str">
        <x:f>IF(C472="","",ROUND(D472*$P$21/12,2))</x:f>
      </x:c>
      <x:c r="F472" s="88" t="str">
        <x:f>IF(C472="","",MIN(D472+E472,$Q$21))</x:f>
      </x:c>
      <x:c r="G472" s="88" t="str">
        <x:f>IF(C472="","",MIN(MAX(0,D472+E472-F472),SUMIFS(SONDERZAHLUNGEN!$E$9:$E$128,SONDERZAHLUNGEN!$B$9:$B$128,C472,SONDERZAHLUNGEN!$C$9:$C$128,A472,SONDERZAHLUNGEN!$H$9:$H$128,"OK",SONDERZAHLUNGEN!$F$9:$F$128,"Ja")))</x:f>
      </x:c>
      <x:c r="H472" s="88" t="str">
        <x:f>IF(C472="","",MIN(MAX(0,D472+E472-F472-G472),MAX(0,IF(MONATSBUDGET!$C$30="",0,MONATSBUDGET!$C$30)-SUM(F460:F479)-SUM(H460:H471))))</x:f>
      </x:c>
      <x:c r="I472" s="88" t="str">
        <x:f>IF(C472="","",MAX(0,ROUND(D472+E472-F472-G472-H472,2)))</x:f>
      </x:c>
      <x:c r="J472" s="88" t="str">
        <x:f>IF(C472="","",F472+G472+H472)</x:f>
      </x:c>
      <x:c r="K472" s="88" t="str">
        <x:f>IF(C472="","",MAX(0,SUMIFS(SONDERZAHLUNGEN!$E$9:$E$128,SONDERZAHLUNGEN!$B$9:$B$128,C472,SONDERZAHLUNGEN!$C$9:$C$128,A472,SONDERZAHLUNGEN!$H$9:$H$128,"OK",SONDERZAHLUNGEN!$F$9:$F$128,"Ja")-G472))</x:f>
      </x:c>
    </x:row>
    <x:row r="473" ht="19" customHeight="1">
      <x:c r="A473" s="90" t="n">
        <x:f>MONATSBUDGET!$A$30</x:f>
        <x:v>46905</x:v>
      </x:c>
      <x:c r="B473" t="n">
        <x:f>14</x:f>
        <x:v>14</x:v>
      </x:c>
      <x:c r="C473" t="str">
        <x:f>IF($N$22="","",$N$22)</x:f>
      </x:c>
      <x:c r="D473" s="88" t="str">
        <x:f>IF(C473="","",I453)</x:f>
      </x:c>
      <x:c r="E473" s="88" t="str">
        <x:f>IF(C473="","",ROUND(D473*$P$22/12,2))</x:f>
      </x:c>
      <x:c r="F473" s="88" t="str">
        <x:f>IF(C473="","",MIN(D473+E473,$Q$22))</x:f>
      </x:c>
      <x:c r="G473" s="88" t="str">
        <x:f>IF(C473="","",MIN(MAX(0,D473+E473-F473),SUMIFS(SONDERZAHLUNGEN!$E$9:$E$128,SONDERZAHLUNGEN!$B$9:$B$128,C473,SONDERZAHLUNGEN!$C$9:$C$128,A473,SONDERZAHLUNGEN!$H$9:$H$128,"OK",SONDERZAHLUNGEN!$F$9:$F$128,"Ja")))</x:f>
      </x:c>
      <x:c r="H473" s="88" t="str">
        <x:f>IF(C473="","",MIN(MAX(0,D473+E473-F473-G473),MAX(0,IF(MONATSBUDGET!$C$30="",0,MONATSBUDGET!$C$30)-SUM(F460:F479)-SUM(H460:H472))))</x:f>
      </x:c>
      <x:c r="I473" s="88" t="str">
        <x:f>IF(C473="","",MAX(0,ROUND(D473+E473-F473-G473-H473,2)))</x:f>
      </x:c>
      <x:c r="J473" s="88" t="str">
        <x:f>IF(C473="","",F473+G473+H473)</x:f>
      </x:c>
      <x:c r="K473" s="88" t="str">
        <x:f>IF(C473="","",MAX(0,SUMIFS(SONDERZAHLUNGEN!$E$9:$E$128,SONDERZAHLUNGEN!$B$9:$B$128,C473,SONDERZAHLUNGEN!$C$9:$C$128,A473,SONDERZAHLUNGEN!$H$9:$H$128,"OK",SONDERZAHLUNGEN!$F$9:$F$128,"Ja")-G473))</x:f>
      </x:c>
    </x:row>
    <x:row r="474" ht="19" customHeight="1">
      <x:c r="A474" s="90" t="n">
        <x:f>MONATSBUDGET!$A$30</x:f>
        <x:v>46905</x:v>
      </x:c>
      <x:c r="B474" t="n">
        <x:f>15</x:f>
        <x:v>15</x:v>
      </x:c>
      <x:c r="C474" t="str">
        <x:f>IF($N$23="","",$N$23)</x:f>
      </x:c>
      <x:c r="D474" s="88" t="str">
        <x:f>IF(C474="","",I454)</x:f>
      </x:c>
      <x:c r="E474" s="88" t="str">
        <x:f>IF(C474="","",ROUND(D474*$P$23/12,2))</x:f>
      </x:c>
      <x:c r="F474" s="88" t="str">
        <x:f>IF(C474="","",MIN(D474+E474,$Q$23))</x:f>
      </x:c>
      <x:c r="G474" s="88" t="str">
        <x:f>IF(C474="","",MIN(MAX(0,D474+E474-F474),SUMIFS(SONDERZAHLUNGEN!$E$9:$E$128,SONDERZAHLUNGEN!$B$9:$B$128,C474,SONDERZAHLUNGEN!$C$9:$C$128,A474,SONDERZAHLUNGEN!$H$9:$H$128,"OK",SONDERZAHLUNGEN!$F$9:$F$128,"Ja")))</x:f>
      </x:c>
      <x:c r="H474" s="88" t="str">
        <x:f>IF(C474="","",MIN(MAX(0,D474+E474-F474-G474),MAX(0,IF(MONATSBUDGET!$C$30="",0,MONATSBUDGET!$C$30)-SUM(F460:F479)-SUM(H460:H473))))</x:f>
      </x:c>
      <x:c r="I474" s="88" t="str">
        <x:f>IF(C474="","",MAX(0,ROUND(D474+E474-F474-G474-H474,2)))</x:f>
      </x:c>
      <x:c r="J474" s="88" t="str">
        <x:f>IF(C474="","",F474+G474+H474)</x:f>
      </x:c>
      <x:c r="K474" s="88" t="str">
        <x:f>IF(C474="","",MAX(0,SUMIFS(SONDERZAHLUNGEN!$E$9:$E$128,SONDERZAHLUNGEN!$B$9:$B$128,C474,SONDERZAHLUNGEN!$C$9:$C$128,A474,SONDERZAHLUNGEN!$H$9:$H$128,"OK",SONDERZAHLUNGEN!$F$9:$F$128,"Ja")-G474))</x:f>
      </x:c>
    </x:row>
    <x:row r="475" ht="19" customHeight="1">
      <x:c r="A475" s="90" t="n">
        <x:f>MONATSBUDGET!$A$30</x:f>
        <x:v>46905</x:v>
      </x:c>
      <x:c r="B475" t="n">
        <x:f>16</x:f>
        <x:v>16</x:v>
      </x:c>
      <x:c r="C475" t="str">
        <x:f>IF($N$24="","",$N$24)</x:f>
      </x:c>
      <x:c r="D475" s="88" t="str">
        <x:f>IF(C475="","",I455)</x:f>
      </x:c>
      <x:c r="E475" s="88" t="str">
        <x:f>IF(C475="","",ROUND(D475*$P$24/12,2))</x:f>
      </x:c>
      <x:c r="F475" s="88" t="str">
        <x:f>IF(C475="","",MIN(D475+E475,$Q$24))</x:f>
      </x:c>
      <x:c r="G475" s="88" t="str">
        <x:f>IF(C475="","",MIN(MAX(0,D475+E475-F475),SUMIFS(SONDERZAHLUNGEN!$E$9:$E$128,SONDERZAHLUNGEN!$B$9:$B$128,C475,SONDERZAHLUNGEN!$C$9:$C$128,A475,SONDERZAHLUNGEN!$H$9:$H$128,"OK",SONDERZAHLUNGEN!$F$9:$F$128,"Ja")))</x:f>
      </x:c>
      <x:c r="H475" s="88" t="str">
        <x:f>IF(C475="","",MIN(MAX(0,D475+E475-F475-G475),MAX(0,IF(MONATSBUDGET!$C$30="",0,MONATSBUDGET!$C$30)-SUM(F460:F479)-SUM(H460:H474))))</x:f>
      </x:c>
      <x:c r="I475" s="88" t="str">
        <x:f>IF(C475="","",MAX(0,ROUND(D475+E475-F475-G475-H475,2)))</x:f>
      </x:c>
      <x:c r="J475" s="88" t="str">
        <x:f>IF(C475="","",F475+G475+H475)</x:f>
      </x:c>
      <x:c r="K475" s="88" t="str">
        <x:f>IF(C475="","",MAX(0,SUMIFS(SONDERZAHLUNGEN!$E$9:$E$128,SONDERZAHLUNGEN!$B$9:$B$128,C475,SONDERZAHLUNGEN!$C$9:$C$128,A475,SONDERZAHLUNGEN!$H$9:$H$128,"OK",SONDERZAHLUNGEN!$F$9:$F$128,"Ja")-G475))</x:f>
      </x:c>
    </x:row>
    <x:row r="476" ht="19" customHeight="1">
      <x:c r="A476" s="90" t="n">
        <x:f>MONATSBUDGET!$A$30</x:f>
        <x:v>46905</x:v>
      </x:c>
      <x:c r="B476" t="n">
        <x:f>17</x:f>
        <x:v>17</x:v>
      </x:c>
      <x:c r="C476" t="str">
        <x:f>IF($N$25="","",$N$25)</x:f>
      </x:c>
      <x:c r="D476" s="88" t="str">
        <x:f>IF(C476="","",I456)</x:f>
      </x:c>
      <x:c r="E476" s="88" t="str">
        <x:f>IF(C476="","",ROUND(D476*$P$25/12,2))</x:f>
      </x:c>
      <x:c r="F476" s="88" t="str">
        <x:f>IF(C476="","",MIN(D476+E476,$Q$25))</x:f>
      </x:c>
      <x:c r="G476" s="88" t="str">
        <x:f>IF(C476="","",MIN(MAX(0,D476+E476-F476),SUMIFS(SONDERZAHLUNGEN!$E$9:$E$128,SONDERZAHLUNGEN!$B$9:$B$128,C476,SONDERZAHLUNGEN!$C$9:$C$128,A476,SONDERZAHLUNGEN!$H$9:$H$128,"OK",SONDERZAHLUNGEN!$F$9:$F$128,"Ja")))</x:f>
      </x:c>
      <x:c r="H476" s="88" t="str">
        <x:f>IF(C476="","",MIN(MAX(0,D476+E476-F476-G476),MAX(0,IF(MONATSBUDGET!$C$30="",0,MONATSBUDGET!$C$30)-SUM(F460:F479)-SUM(H460:H475))))</x:f>
      </x:c>
      <x:c r="I476" s="88" t="str">
        <x:f>IF(C476="","",MAX(0,ROUND(D476+E476-F476-G476-H476,2)))</x:f>
      </x:c>
      <x:c r="J476" s="88" t="str">
        <x:f>IF(C476="","",F476+G476+H476)</x:f>
      </x:c>
      <x:c r="K476" s="88" t="str">
        <x:f>IF(C476="","",MAX(0,SUMIFS(SONDERZAHLUNGEN!$E$9:$E$128,SONDERZAHLUNGEN!$B$9:$B$128,C476,SONDERZAHLUNGEN!$C$9:$C$128,A476,SONDERZAHLUNGEN!$H$9:$H$128,"OK",SONDERZAHLUNGEN!$F$9:$F$128,"Ja")-G476))</x:f>
      </x:c>
    </x:row>
    <x:row r="477" ht="19" customHeight="1">
      <x:c r="A477" s="90" t="n">
        <x:f>MONATSBUDGET!$A$30</x:f>
        <x:v>46905</x:v>
      </x:c>
      <x:c r="B477" t="n">
        <x:f>18</x:f>
        <x:v>18</x:v>
      </x:c>
      <x:c r="C477" t="str">
        <x:f>IF($N$26="","",$N$26)</x:f>
      </x:c>
      <x:c r="D477" s="88" t="str">
        <x:f>IF(C477="","",I457)</x:f>
      </x:c>
      <x:c r="E477" s="88" t="str">
        <x:f>IF(C477="","",ROUND(D477*$P$26/12,2))</x:f>
      </x:c>
      <x:c r="F477" s="88" t="str">
        <x:f>IF(C477="","",MIN(D477+E477,$Q$26))</x:f>
      </x:c>
      <x:c r="G477" s="88" t="str">
        <x:f>IF(C477="","",MIN(MAX(0,D477+E477-F477),SUMIFS(SONDERZAHLUNGEN!$E$9:$E$128,SONDERZAHLUNGEN!$B$9:$B$128,C477,SONDERZAHLUNGEN!$C$9:$C$128,A477,SONDERZAHLUNGEN!$H$9:$H$128,"OK",SONDERZAHLUNGEN!$F$9:$F$128,"Ja")))</x:f>
      </x:c>
      <x:c r="H477" s="88" t="str">
        <x:f>IF(C477="","",MIN(MAX(0,D477+E477-F477-G477),MAX(0,IF(MONATSBUDGET!$C$30="",0,MONATSBUDGET!$C$30)-SUM(F460:F479)-SUM(H460:H476))))</x:f>
      </x:c>
      <x:c r="I477" s="88" t="str">
        <x:f>IF(C477="","",MAX(0,ROUND(D477+E477-F477-G477-H477,2)))</x:f>
      </x:c>
      <x:c r="J477" s="88" t="str">
        <x:f>IF(C477="","",F477+G477+H477)</x:f>
      </x:c>
      <x:c r="K477" s="88" t="str">
        <x:f>IF(C477="","",MAX(0,SUMIFS(SONDERZAHLUNGEN!$E$9:$E$128,SONDERZAHLUNGEN!$B$9:$B$128,C477,SONDERZAHLUNGEN!$C$9:$C$128,A477,SONDERZAHLUNGEN!$H$9:$H$128,"OK",SONDERZAHLUNGEN!$F$9:$F$128,"Ja")-G477))</x:f>
      </x:c>
    </x:row>
    <x:row r="478" ht="19" customHeight="1">
      <x:c r="A478" s="90" t="n">
        <x:f>MONATSBUDGET!$A$30</x:f>
        <x:v>46905</x:v>
      </x:c>
      <x:c r="B478" t="n">
        <x:f>19</x:f>
        <x:v>19</x:v>
      </x:c>
      <x:c r="C478" t="str">
        <x:f>IF($N$27="","",$N$27)</x:f>
      </x:c>
      <x:c r="D478" s="88" t="str">
        <x:f>IF(C478="","",I458)</x:f>
      </x:c>
      <x:c r="E478" s="88" t="str">
        <x:f>IF(C478="","",ROUND(D478*$P$27/12,2))</x:f>
      </x:c>
      <x:c r="F478" s="88" t="str">
        <x:f>IF(C478="","",MIN(D478+E478,$Q$27))</x:f>
      </x:c>
      <x:c r="G478" s="88" t="str">
        <x:f>IF(C478="","",MIN(MAX(0,D478+E478-F478),SUMIFS(SONDERZAHLUNGEN!$E$9:$E$128,SONDERZAHLUNGEN!$B$9:$B$128,C478,SONDERZAHLUNGEN!$C$9:$C$128,A478,SONDERZAHLUNGEN!$H$9:$H$128,"OK",SONDERZAHLUNGEN!$F$9:$F$128,"Ja")))</x:f>
      </x:c>
      <x:c r="H478" s="88" t="str">
        <x:f>IF(C478="","",MIN(MAX(0,D478+E478-F478-G478),MAX(0,IF(MONATSBUDGET!$C$30="",0,MONATSBUDGET!$C$30)-SUM(F460:F479)-SUM(H460:H477))))</x:f>
      </x:c>
      <x:c r="I478" s="88" t="str">
        <x:f>IF(C478="","",MAX(0,ROUND(D478+E478-F478-G478-H478,2)))</x:f>
      </x:c>
      <x:c r="J478" s="88" t="str">
        <x:f>IF(C478="","",F478+G478+H478)</x:f>
      </x:c>
      <x:c r="K478" s="88" t="str">
        <x:f>IF(C478="","",MAX(0,SUMIFS(SONDERZAHLUNGEN!$E$9:$E$128,SONDERZAHLUNGEN!$B$9:$B$128,C478,SONDERZAHLUNGEN!$C$9:$C$128,A478,SONDERZAHLUNGEN!$H$9:$H$128,"OK",SONDERZAHLUNGEN!$F$9:$F$128,"Ja")-G478))</x:f>
      </x:c>
    </x:row>
    <x:row r="479" ht="19" customHeight="1">
      <x:c r="A479" s="90" t="n">
        <x:f>MONATSBUDGET!$A$30</x:f>
        <x:v>46905</x:v>
      </x:c>
      <x:c r="B479" t="n">
        <x:f>20</x:f>
        <x:v>20</x:v>
      </x:c>
      <x:c r="C479" t="str">
        <x:f>IF($N$28="","",$N$28)</x:f>
      </x:c>
      <x:c r="D479" s="88" t="str">
        <x:f>IF(C479="","",I459)</x:f>
      </x:c>
      <x:c r="E479" s="88" t="str">
        <x:f>IF(C479="","",ROUND(D479*$P$28/12,2))</x:f>
      </x:c>
      <x:c r="F479" s="88" t="str">
        <x:f>IF(C479="","",MIN(D479+E479,$Q$28))</x:f>
      </x:c>
      <x:c r="G479" s="88" t="str">
        <x:f>IF(C479="","",MIN(MAX(0,D479+E479-F479),SUMIFS(SONDERZAHLUNGEN!$E$9:$E$128,SONDERZAHLUNGEN!$B$9:$B$128,C479,SONDERZAHLUNGEN!$C$9:$C$128,A479,SONDERZAHLUNGEN!$H$9:$H$128,"OK",SONDERZAHLUNGEN!$F$9:$F$128,"Ja")))</x:f>
      </x:c>
      <x:c r="H479" s="88" t="str">
        <x:f>IF(C479="","",MIN(MAX(0,D479+E479-F479-G479),MAX(0,IF(MONATSBUDGET!$C$30="",0,MONATSBUDGET!$C$30)-SUM(F460:F479)-SUM(H460:H478))))</x:f>
      </x:c>
      <x:c r="I479" s="88" t="str">
        <x:f>IF(C479="","",MAX(0,ROUND(D479+E479-F479-G479-H479,2)))</x:f>
      </x:c>
      <x:c r="J479" s="88" t="str">
        <x:f>IF(C479="","",F479+G479+H479)</x:f>
      </x:c>
      <x:c r="K479" s="88" t="str">
        <x:f>IF(C479="","",MAX(0,SUMIFS(SONDERZAHLUNGEN!$E$9:$E$128,SONDERZAHLUNGEN!$B$9:$B$128,C479,SONDERZAHLUNGEN!$C$9:$C$128,A479,SONDERZAHLUNGEN!$H$9:$H$128,"OK",SONDERZAHLUNGEN!$F$9:$F$128,"Ja")-G479))</x:f>
      </x:c>
    </x:row>
    <x:row r="480" ht="19" customHeight="1">
      <x:c r="A480" s="90" t="n">
        <x:f>MONATSBUDGET!$A$31</x:f>
        <x:v>46935</x:v>
      </x:c>
      <x:c r="B480" t="n">
        <x:f>1</x:f>
        <x:v>1</x:v>
      </x:c>
      <x:c r="C480" t="str">
        <x:f>IF($N$9="","",$N$9)</x:f>
      </x:c>
      <x:c r="D480" s="88" t="str">
        <x:f>IF(C480="","",I460)</x:f>
      </x:c>
      <x:c r="E480" s="88" t="str">
        <x:f>IF(C480="","",ROUND(D480*$P$9/12,2))</x:f>
      </x:c>
      <x:c r="F480" s="88" t="str">
        <x:f>IF(C480="","",MIN(D480+E480,$Q$9))</x:f>
      </x:c>
      <x:c r="G480" s="88" t="str">
        <x:f>IF(C480="","",MIN(MAX(0,D480+E480-F480),SUMIFS(SONDERZAHLUNGEN!$E$9:$E$128,SONDERZAHLUNGEN!$B$9:$B$128,C480,SONDERZAHLUNGEN!$C$9:$C$128,A480,SONDERZAHLUNGEN!$H$9:$H$128,"OK",SONDERZAHLUNGEN!$F$9:$F$128,"Ja")))</x:f>
      </x:c>
      <x:c r="H480" s="88" t="str">
        <x:f>IF(C480="","",MIN(MAX(0,D480+E480-F480-G480),MAX(0,IF(MONATSBUDGET!$C$31="",0,MONATSBUDGET!$C$31)-SUM(F480:F499)-0)))</x:f>
      </x:c>
      <x:c r="I480" s="88" t="str">
        <x:f>IF(C480="","",MAX(0,ROUND(D480+E480-F480-G480-H480,2)))</x:f>
      </x:c>
      <x:c r="J480" s="88" t="str">
        <x:f>IF(C480="","",F480+G480+H480)</x:f>
      </x:c>
      <x:c r="K480" s="88" t="str">
        <x:f>IF(C480="","",MAX(0,SUMIFS(SONDERZAHLUNGEN!$E$9:$E$128,SONDERZAHLUNGEN!$B$9:$B$128,C480,SONDERZAHLUNGEN!$C$9:$C$128,A480,SONDERZAHLUNGEN!$H$9:$H$128,"OK",SONDERZAHLUNGEN!$F$9:$F$128,"Ja")-G480))</x:f>
      </x:c>
    </x:row>
    <x:row r="481" ht="19" customHeight="1">
      <x:c r="A481" s="90" t="n">
        <x:f>MONATSBUDGET!$A$31</x:f>
        <x:v>46935</x:v>
      </x:c>
      <x:c r="B481" t="n">
        <x:f>2</x:f>
        <x:v>2</x:v>
      </x:c>
      <x:c r="C481" t="str">
        <x:f>IF($N$10="","",$N$10)</x:f>
      </x:c>
      <x:c r="D481" s="88" t="str">
        <x:f>IF(C481="","",I461)</x:f>
      </x:c>
      <x:c r="E481" s="88" t="str">
        <x:f>IF(C481="","",ROUND(D481*$P$10/12,2))</x:f>
      </x:c>
      <x:c r="F481" s="88" t="str">
        <x:f>IF(C481="","",MIN(D481+E481,$Q$10))</x:f>
      </x:c>
      <x:c r="G481" s="88" t="str">
        <x:f>IF(C481="","",MIN(MAX(0,D481+E481-F481),SUMIFS(SONDERZAHLUNGEN!$E$9:$E$128,SONDERZAHLUNGEN!$B$9:$B$128,C481,SONDERZAHLUNGEN!$C$9:$C$128,A481,SONDERZAHLUNGEN!$H$9:$H$128,"OK",SONDERZAHLUNGEN!$F$9:$F$128,"Ja")))</x:f>
      </x:c>
      <x:c r="H481" s="88" t="str">
        <x:f>IF(C481="","",MIN(MAX(0,D481+E481-F481-G481),MAX(0,IF(MONATSBUDGET!$C$31="",0,MONATSBUDGET!$C$31)-SUM(F480:F499)-SUM(H480:H480))))</x:f>
      </x:c>
      <x:c r="I481" s="88" t="str">
        <x:f>IF(C481="","",MAX(0,ROUND(D481+E481-F481-G481-H481,2)))</x:f>
      </x:c>
      <x:c r="J481" s="88" t="str">
        <x:f>IF(C481="","",F481+G481+H481)</x:f>
      </x:c>
      <x:c r="K481" s="88" t="str">
        <x:f>IF(C481="","",MAX(0,SUMIFS(SONDERZAHLUNGEN!$E$9:$E$128,SONDERZAHLUNGEN!$B$9:$B$128,C481,SONDERZAHLUNGEN!$C$9:$C$128,A481,SONDERZAHLUNGEN!$H$9:$H$128,"OK",SONDERZAHLUNGEN!$F$9:$F$128,"Ja")-G481))</x:f>
      </x:c>
    </x:row>
    <x:row r="482" ht="19" customHeight="1">
      <x:c r="A482" s="90" t="n">
        <x:f>MONATSBUDGET!$A$31</x:f>
        <x:v>46935</x:v>
      </x:c>
      <x:c r="B482" t="n">
        <x:f>3</x:f>
        <x:v>3</x:v>
      </x:c>
      <x:c r="C482" t="str">
        <x:f>IF($N$11="","",$N$11)</x:f>
      </x:c>
      <x:c r="D482" s="88" t="str">
        <x:f>IF(C482="","",I462)</x:f>
      </x:c>
      <x:c r="E482" s="88" t="str">
        <x:f>IF(C482="","",ROUND(D482*$P$11/12,2))</x:f>
      </x:c>
      <x:c r="F482" s="88" t="str">
        <x:f>IF(C482="","",MIN(D482+E482,$Q$11))</x:f>
      </x:c>
      <x:c r="G482" s="88" t="str">
        <x:f>IF(C482="","",MIN(MAX(0,D482+E482-F482),SUMIFS(SONDERZAHLUNGEN!$E$9:$E$128,SONDERZAHLUNGEN!$B$9:$B$128,C482,SONDERZAHLUNGEN!$C$9:$C$128,A482,SONDERZAHLUNGEN!$H$9:$H$128,"OK",SONDERZAHLUNGEN!$F$9:$F$128,"Ja")))</x:f>
      </x:c>
      <x:c r="H482" s="88" t="str">
        <x:f>IF(C482="","",MIN(MAX(0,D482+E482-F482-G482),MAX(0,IF(MONATSBUDGET!$C$31="",0,MONATSBUDGET!$C$31)-SUM(F480:F499)-SUM(H480:H481))))</x:f>
      </x:c>
      <x:c r="I482" s="88" t="str">
        <x:f>IF(C482="","",MAX(0,ROUND(D482+E482-F482-G482-H482,2)))</x:f>
      </x:c>
      <x:c r="J482" s="88" t="str">
        <x:f>IF(C482="","",F482+G482+H482)</x:f>
      </x:c>
      <x:c r="K482" s="88" t="str">
        <x:f>IF(C482="","",MAX(0,SUMIFS(SONDERZAHLUNGEN!$E$9:$E$128,SONDERZAHLUNGEN!$B$9:$B$128,C482,SONDERZAHLUNGEN!$C$9:$C$128,A482,SONDERZAHLUNGEN!$H$9:$H$128,"OK",SONDERZAHLUNGEN!$F$9:$F$128,"Ja")-G482))</x:f>
      </x:c>
    </x:row>
    <x:row r="483" ht="19" customHeight="1">
      <x:c r="A483" s="90" t="n">
        <x:f>MONATSBUDGET!$A$31</x:f>
        <x:v>46935</x:v>
      </x:c>
      <x:c r="B483" t="n">
        <x:f>4</x:f>
        <x:v>4</x:v>
      </x:c>
      <x:c r="C483" t="str">
        <x:f>IF($N$12="","",$N$12)</x:f>
      </x:c>
      <x:c r="D483" s="88" t="str">
        <x:f>IF(C483="","",I463)</x:f>
      </x:c>
      <x:c r="E483" s="88" t="str">
        <x:f>IF(C483="","",ROUND(D483*$P$12/12,2))</x:f>
      </x:c>
      <x:c r="F483" s="88" t="str">
        <x:f>IF(C483="","",MIN(D483+E483,$Q$12))</x:f>
      </x:c>
      <x:c r="G483" s="88" t="str">
        <x:f>IF(C483="","",MIN(MAX(0,D483+E483-F483),SUMIFS(SONDERZAHLUNGEN!$E$9:$E$128,SONDERZAHLUNGEN!$B$9:$B$128,C483,SONDERZAHLUNGEN!$C$9:$C$128,A483,SONDERZAHLUNGEN!$H$9:$H$128,"OK",SONDERZAHLUNGEN!$F$9:$F$128,"Ja")))</x:f>
      </x:c>
      <x:c r="H483" s="88" t="str">
        <x:f>IF(C483="","",MIN(MAX(0,D483+E483-F483-G483),MAX(0,IF(MONATSBUDGET!$C$31="",0,MONATSBUDGET!$C$31)-SUM(F480:F499)-SUM(H480:H482))))</x:f>
      </x:c>
      <x:c r="I483" s="88" t="str">
        <x:f>IF(C483="","",MAX(0,ROUND(D483+E483-F483-G483-H483,2)))</x:f>
      </x:c>
      <x:c r="J483" s="88" t="str">
        <x:f>IF(C483="","",F483+G483+H483)</x:f>
      </x:c>
      <x:c r="K483" s="88" t="str">
        <x:f>IF(C483="","",MAX(0,SUMIFS(SONDERZAHLUNGEN!$E$9:$E$128,SONDERZAHLUNGEN!$B$9:$B$128,C483,SONDERZAHLUNGEN!$C$9:$C$128,A483,SONDERZAHLUNGEN!$H$9:$H$128,"OK",SONDERZAHLUNGEN!$F$9:$F$128,"Ja")-G483))</x:f>
      </x:c>
    </x:row>
    <x:row r="484" ht="19" customHeight="1">
      <x:c r="A484" s="90" t="n">
        <x:f>MONATSBUDGET!$A$31</x:f>
        <x:v>46935</x:v>
      </x:c>
      <x:c r="B484" t="n">
        <x:f>5</x:f>
        <x:v>5</x:v>
      </x:c>
      <x:c r="C484" t="str">
        <x:f>IF($N$13="","",$N$13)</x:f>
      </x:c>
      <x:c r="D484" s="88" t="str">
        <x:f>IF(C484="","",I464)</x:f>
      </x:c>
      <x:c r="E484" s="88" t="str">
        <x:f>IF(C484="","",ROUND(D484*$P$13/12,2))</x:f>
      </x:c>
      <x:c r="F484" s="88" t="str">
        <x:f>IF(C484="","",MIN(D484+E484,$Q$13))</x:f>
      </x:c>
      <x:c r="G484" s="88" t="str">
        <x:f>IF(C484="","",MIN(MAX(0,D484+E484-F484),SUMIFS(SONDERZAHLUNGEN!$E$9:$E$128,SONDERZAHLUNGEN!$B$9:$B$128,C484,SONDERZAHLUNGEN!$C$9:$C$128,A484,SONDERZAHLUNGEN!$H$9:$H$128,"OK",SONDERZAHLUNGEN!$F$9:$F$128,"Ja")))</x:f>
      </x:c>
      <x:c r="H484" s="88" t="str">
        <x:f>IF(C484="","",MIN(MAX(0,D484+E484-F484-G484),MAX(0,IF(MONATSBUDGET!$C$31="",0,MONATSBUDGET!$C$31)-SUM(F480:F499)-SUM(H480:H483))))</x:f>
      </x:c>
      <x:c r="I484" s="88" t="str">
        <x:f>IF(C484="","",MAX(0,ROUND(D484+E484-F484-G484-H484,2)))</x:f>
      </x:c>
      <x:c r="J484" s="88" t="str">
        <x:f>IF(C484="","",F484+G484+H484)</x:f>
      </x:c>
      <x:c r="K484" s="88" t="str">
        <x:f>IF(C484="","",MAX(0,SUMIFS(SONDERZAHLUNGEN!$E$9:$E$128,SONDERZAHLUNGEN!$B$9:$B$128,C484,SONDERZAHLUNGEN!$C$9:$C$128,A484,SONDERZAHLUNGEN!$H$9:$H$128,"OK",SONDERZAHLUNGEN!$F$9:$F$128,"Ja")-G484))</x:f>
      </x:c>
    </x:row>
    <x:row r="485" ht="19" customHeight="1">
      <x:c r="A485" s="90" t="n">
        <x:f>MONATSBUDGET!$A$31</x:f>
        <x:v>46935</x:v>
      </x:c>
      <x:c r="B485" t="n">
        <x:f>6</x:f>
        <x:v>6</x:v>
      </x:c>
      <x:c r="C485" t="str">
        <x:f>IF($N$14="","",$N$14)</x:f>
      </x:c>
      <x:c r="D485" s="88" t="str">
        <x:f>IF(C485="","",I465)</x:f>
      </x:c>
      <x:c r="E485" s="88" t="str">
        <x:f>IF(C485="","",ROUND(D485*$P$14/12,2))</x:f>
      </x:c>
      <x:c r="F485" s="88" t="str">
        <x:f>IF(C485="","",MIN(D485+E485,$Q$14))</x:f>
      </x:c>
      <x:c r="G485" s="88" t="str">
        <x:f>IF(C485="","",MIN(MAX(0,D485+E485-F485),SUMIFS(SONDERZAHLUNGEN!$E$9:$E$128,SONDERZAHLUNGEN!$B$9:$B$128,C485,SONDERZAHLUNGEN!$C$9:$C$128,A485,SONDERZAHLUNGEN!$H$9:$H$128,"OK",SONDERZAHLUNGEN!$F$9:$F$128,"Ja")))</x:f>
      </x:c>
      <x:c r="H485" s="88" t="str">
        <x:f>IF(C485="","",MIN(MAX(0,D485+E485-F485-G485),MAX(0,IF(MONATSBUDGET!$C$31="",0,MONATSBUDGET!$C$31)-SUM(F480:F499)-SUM(H480:H484))))</x:f>
      </x:c>
      <x:c r="I485" s="88" t="str">
        <x:f>IF(C485="","",MAX(0,ROUND(D485+E485-F485-G485-H485,2)))</x:f>
      </x:c>
      <x:c r="J485" s="88" t="str">
        <x:f>IF(C485="","",F485+G485+H485)</x:f>
      </x:c>
      <x:c r="K485" s="88" t="str">
        <x:f>IF(C485="","",MAX(0,SUMIFS(SONDERZAHLUNGEN!$E$9:$E$128,SONDERZAHLUNGEN!$B$9:$B$128,C485,SONDERZAHLUNGEN!$C$9:$C$128,A485,SONDERZAHLUNGEN!$H$9:$H$128,"OK",SONDERZAHLUNGEN!$F$9:$F$128,"Ja")-G485))</x:f>
      </x:c>
    </x:row>
    <x:row r="486" ht="19" customHeight="1">
      <x:c r="A486" s="90" t="n">
        <x:f>MONATSBUDGET!$A$31</x:f>
        <x:v>46935</x:v>
      </x:c>
      <x:c r="B486" t="n">
        <x:f>7</x:f>
        <x:v>7</x:v>
      </x:c>
      <x:c r="C486" t="str">
        <x:f>IF($N$15="","",$N$15)</x:f>
      </x:c>
      <x:c r="D486" s="88" t="str">
        <x:f>IF(C486="","",I466)</x:f>
      </x:c>
      <x:c r="E486" s="88" t="str">
        <x:f>IF(C486="","",ROUND(D486*$P$15/12,2))</x:f>
      </x:c>
      <x:c r="F486" s="88" t="str">
        <x:f>IF(C486="","",MIN(D486+E486,$Q$15))</x:f>
      </x:c>
      <x:c r="G486" s="88" t="str">
        <x:f>IF(C486="","",MIN(MAX(0,D486+E486-F486),SUMIFS(SONDERZAHLUNGEN!$E$9:$E$128,SONDERZAHLUNGEN!$B$9:$B$128,C486,SONDERZAHLUNGEN!$C$9:$C$128,A486,SONDERZAHLUNGEN!$H$9:$H$128,"OK",SONDERZAHLUNGEN!$F$9:$F$128,"Ja")))</x:f>
      </x:c>
      <x:c r="H486" s="88" t="str">
        <x:f>IF(C486="","",MIN(MAX(0,D486+E486-F486-G486),MAX(0,IF(MONATSBUDGET!$C$31="",0,MONATSBUDGET!$C$31)-SUM(F480:F499)-SUM(H480:H485))))</x:f>
      </x:c>
      <x:c r="I486" s="88" t="str">
        <x:f>IF(C486="","",MAX(0,ROUND(D486+E486-F486-G486-H486,2)))</x:f>
      </x:c>
      <x:c r="J486" s="88" t="str">
        <x:f>IF(C486="","",F486+G486+H486)</x:f>
      </x:c>
      <x:c r="K486" s="88" t="str">
        <x:f>IF(C486="","",MAX(0,SUMIFS(SONDERZAHLUNGEN!$E$9:$E$128,SONDERZAHLUNGEN!$B$9:$B$128,C486,SONDERZAHLUNGEN!$C$9:$C$128,A486,SONDERZAHLUNGEN!$H$9:$H$128,"OK",SONDERZAHLUNGEN!$F$9:$F$128,"Ja")-G486))</x:f>
      </x:c>
    </x:row>
    <x:row r="487" ht="19" customHeight="1">
      <x:c r="A487" s="90" t="n">
        <x:f>MONATSBUDGET!$A$31</x:f>
        <x:v>46935</x:v>
      </x:c>
      <x:c r="B487" t="n">
        <x:f>8</x:f>
        <x:v>8</x:v>
      </x:c>
      <x:c r="C487" t="str">
        <x:f>IF($N$16="","",$N$16)</x:f>
      </x:c>
      <x:c r="D487" s="88" t="str">
        <x:f>IF(C487="","",I467)</x:f>
      </x:c>
      <x:c r="E487" s="88" t="str">
        <x:f>IF(C487="","",ROUND(D487*$P$16/12,2))</x:f>
      </x:c>
      <x:c r="F487" s="88" t="str">
        <x:f>IF(C487="","",MIN(D487+E487,$Q$16))</x:f>
      </x:c>
      <x:c r="G487" s="88" t="str">
        <x:f>IF(C487="","",MIN(MAX(0,D487+E487-F487),SUMIFS(SONDERZAHLUNGEN!$E$9:$E$128,SONDERZAHLUNGEN!$B$9:$B$128,C487,SONDERZAHLUNGEN!$C$9:$C$128,A487,SONDERZAHLUNGEN!$H$9:$H$128,"OK",SONDERZAHLUNGEN!$F$9:$F$128,"Ja")))</x:f>
      </x:c>
      <x:c r="H487" s="88" t="str">
        <x:f>IF(C487="","",MIN(MAX(0,D487+E487-F487-G487),MAX(0,IF(MONATSBUDGET!$C$31="",0,MONATSBUDGET!$C$31)-SUM(F480:F499)-SUM(H480:H486))))</x:f>
      </x:c>
      <x:c r="I487" s="88" t="str">
        <x:f>IF(C487="","",MAX(0,ROUND(D487+E487-F487-G487-H487,2)))</x:f>
      </x:c>
      <x:c r="J487" s="88" t="str">
        <x:f>IF(C487="","",F487+G487+H487)</x:f>
      </x:c>
      <x:c r="K487" s="88" t="str">
        <x:f>IF(C487="","",MAX(0,SUMIFS(SONDERZAHLUNGEN!$E$9:$E$128,SONDERZAHLUNGEN!$B$9:$B$128,C487,SONDERZAHLUNGEN!$C$9:$C$128,A487,SONDERZAHLUNGEN!$H$9:$H$128,"OK",SONDERZAHLUNGEN!$F$9:$F$128,"Ja")-G487))</x:f>
      </x:c>
    </x:row>
    <x:row r="488" ht="19" customHeight="1">
      <x:c r="A488" s="90" t="n">
        <x:f>MONATSBUDGET!$A$31</x:f>
        <x:v>46935</x:v>
      </x:c>
      <x:c r="B488" t="n">
        <x:f>9</x:f>
        <x:v>9</x:v>
      </x:c>
      <x:c r="C488" t="str">
        <x:f>IF($N$17="","",$N$17)</x:f>
      </x:c>
      <x:c r="D488" s="88" t="str">
        <x:f>IF(C488="","",I468)</x:f>
      </x:c>
      <x:c r="E488" s="88" t="str">
        <x:f>IF(C488="","",ROUND(D488*$P$17/12,2))</x:f>
      </x:c>
      <x:c r="F488" s="88" t="str">
        <x:f>IF(C488="","",MIN(D488+E488,$Q$17))</x:f>
      </x:c>
      <x:c r="G488" s="88" t="str">
        <x:f>IF(C488="","",MIN(MAX(0,D488+E488-F488),SUMIFS(SONDERZAHLUNGEN!$E$9:$E$128,SONDERZAHLUNGEN!$B$9:$B$128,C488,SONDERZAHLUNGEN!$C$9:$C$128,A488,SONDERZAHLUNGEN!$H$9:$H$128,"OK",SONDERZAHLUNGEN!$F$9:$F$128,"Ja")))</x:f>
      </x:c>
      <x:c r="H488" s="88" t="str">
        <x:f>IF(C488="","",MIN(MAX(0,D488+E488-F488-G488),MAX(0,IF(MONATSBUDGET!$C$31="",0,MONATSBUDGET!$C$31)-SUM(F480:F499)-SUM(H480:H487))))</x:f>
      </x:c>
      <x:c r="I488" s="88" t="str">
        <x:f>IF(C488="","",MAX(0,ROUND(D488+E488-F488-G488-H488,2)))</x:f>
      </x:c>
      <x:c r="J488" s="88" t="str">
        <x:f>IF(C488="","",F488+G488+H488)</x:f>
      </x:c>
      <x:c r="K488" s="88" t="str">
        <x:f>IF(C488="","",MAX(0,SUMIFS(SONDERZAHLUNGEN!$E$9:$E$128,SONDERZAHLUNGEN!$B$9:$B$128,C488,SONDERZAHLUNGEN!$C$9:$C$128,A488,SONDERZAHLUNGEN!$H$9:$H$128,"OK",SONDERZAHLUNGEN!$F$9:$F$128,"Ja")-G488))</x:f>
      </x:c>
    </x:row>
    <x:row r="489" ht="19" customHeight="1">
      <x:c r="A489" s="90" t="n">
        <x:f>MONATSBUDGET!$A$31</x:f>
        <x:v>46935</x:v>
      </x:c>
      <x:c r="B489" t="n">
        <x:f>10</x:f>
        <x:v>10</x:v>
      </x:c>
      <x:c r="C489" t="str">
        <x:f>IF($N$18="","",$N$18)</x:f>
      </x:c>
      <x:c r="D489" s="88" t="str">
        <x:f>IF(C489="","",I469)</x:f>
      </x:c>
      <x:c r="E489" s="88" t="str">
        <x:f>IF(C489="","",ROUND(D489*$P$18/12,2))</x:f>
      </x:c>
      <x:c r="F489" s="88" t="str">
        <x:f>IF(C489="","",MIN(D489+E489,$Q$18))</x:f>
      </x:c>
      <x:c r="G489" s="88" t="str">
        <x:f>IF(C489="","",MIN(MAX(0,D489+E489-F489),SUMIFS(SONDERZAHLUNGEN!$E$9:$E$128,SONDERZAHLUNGEN!$B$9:$B$128,C489,SONDERZAHLUNGEN!$C$9:$C$128,A489,SONDERZAHLUNGEN!$H$9:$H$128,"OK",SONDERZAHLUNGEN!$F$9:$F$128,"Ja")))</x:f>
      </x:c>
      <x:c r="H489" s="88" t="str">
        <x:f>IF(C489="","",MIN(MAX(0,D489+E489-F489-G489),MAX(0,IF(MONATSBUDGET!$C$31="",0,MONATSBUDGET!$C$31)-SUM(F480:F499)-SUM(H480:H488))))</x:f>
      </x:c>
      <x:c r="I489" s="88" t="str">
        <x:f>IF(C489="","",MAX(0,ROUND(D489+E489-F489-G489-H489,2)))</x:f>
      </x:c>
      <x:c r="J489" s="88" t="str">
        <x:f>IF(C489="","",F489+G489+H489)</x:f>
      </x:c>
      <x:c r="K489" s="88" t="str">
        <x:f>IF(C489="","",MAX(0,SUMIFS(SONDERZAHLUNGEN!$E$9:$E$128,SONDERZAHLUNGEN!$B$9:$B$128,C489,SONDERZAHLUNGEN!$C$9:$C$128,A489,SONDERZAHLUNGEN!$H$9:$H$128,"OK",SONDERZAHLUNGEN!$F$9:$F$128,"Ja")-G489))</x:f>
      </x:c>
    </x:row>
    <x:row r="490" ht="19" customHeight="1">
      <x:c r="A490" s="90" t="n">
        <x:f>MONATSBUDGET!$A$31</x:f>
        <x:v>46935</x:v>
      </x:c>
      <x:c r="B490" t="n">
        <x:f>11</x:f>
        <x:v>11</x:v>
      </x:c>
      <x:c r="C490" t="str">
        <x:f>IF($N$19="","",$N$19)</x:f>
      </x:c>
      <x:c r="D490" s="88" t="str">
        <x:f>IF(C490="","",I470)</x:f>
      </x:c>
      <x:c r="E490" s="88" t="str">
        <x:f>IF(C490="","",ROUND(D490*$P$19/12,2))</x:f>
      </x:c>
      <x:c r="F490" s="88" t="str">
        <x:f>IF(C490="","",MIN(D490+E490,$Q$19))</x:f>
      </x:c>
      <x:c r="G490" s="88" t="str">
        <x:f>IF(C490="","",MIN(MAX(0,D490+E490-F490),SUMIFS(SONDERZAHLUNGEN!$E$9:$E$128,SONDERZAHLUNGEN!$B$9:$B$128,C490,SONDERZAHLUNGEN!$C$9:$C$128,A490,SONDERZAHLUNGEN!$H$9:$H$128,"OK",SONDERZAHLUNGEN!$F$9:$F$128,"Ja")))</x:f>
      </x:c>
      <x:c r="H490" s="88" t="str">
        <x:f>IF(C490="","",MIN(MAX(0,D490+E490-F490-G490),MAX(0,IF(MONATSBUDGET!$C$31="",0,MONATSBUDGET!$C$31)-SUM(F480:F499)-SUM(H480:H489))))</x:f>
      </x:c>
      <x:c r="I490" s="88" t="str">
        <x:f>IF(C490="","",MAX(0,ROUND(D490+E490-F490-G490-H490,2)))</x:f>
      </x:c>
      <x:c r="J490" s="88" t="str">
        <x:f>IF(C490="","",F490+G490+H490)</x:f>
      </x:c>
      <x:c r="K490" s="88" t="str">
        <x:f>IF(C490="","",MAX(0,SUMIFS(SONDERZAHLUNGEN!$E$9:$E$128,SONDERZAHLUNGEN!$B$9:$B$128,C490,SONDERZAHLUNGEN!$C$9:$C$128,A490,SONDERZAHLUNGEN!$H$9:$H$128,"OK",SONDERZAHLUNGEN!$F$9:$F$128,"Ja")-G490))</x:f>
      </x:c>
    </x:row>
    <x:row r="491" ht="19" customHeight="1">
      <x:c r="A491" s="90" t="n">
        <x:f>MONATSBUDGET!$A$31</x:f>
        <x:v>46935</x:v>
      </x:c>
      <x:c r="B491" t="n">
        <x:f>12</x:f>
        <x:v>12</x:v>
      </x:c>
      <x:c r="C491" t="str">
        <x:f>IF($N$20="","",$N$20)</x:f>
      </x:c>
      <x:c r="D491" s="88" t="str">
        <x:f>IF(C491="","",I471)</x:f>
      </x:c>
      <x:c r="E491" s="88" t="str">
        <x:f>IF(C491="","",ROUND(D491*$P$20/12,2))</x:f>
      </x:c>
      <x:c r="F491" s="88" t="str">
        <x:f>IF(C491="","",MIN(D491+E491,$Q$20))</x:f>
      </x:c>
      <x:c r="G491" s="88" t="str">
        <x:f>IF(C491="","",MIN(MAX(0,D491+E491-F491),SUMIFS(SONDERZAHLUNGEN!$E$9:$E$128,SONDERZAHLUNGEN!$B$9:$B$128,C491,SONDERZAHLUNGEN!$C$9:$C$128,A491,SONDERZAHLUNGEN!$H$9:$H$128,"OK",SONDERZAHLUNGEN!$F$9:$F$128,"Ja")))</x:f>
      </x:c>
      <x:c r="H491" s="88" t="str">
        <x:f>IF(C491="","",MIN(MAX(0,D491+E491-F491-G491),MAX(0,IF(MONATSBUDGET!$C$31="",0,MONATSBUDGET!$C$31)-SUM(F480:F499)-SUM(H480:H490))))</x:f>
      </x:c>
      <x:c r="I491" s="88" t="str">
        <x:f>IF(C491="","",MAX(0,ROUND(D491+E491-F491-G491-H491,2)))</x:f>
      </x:c>
      <x:c r="J491" s="88" t="str">
        <x:f>IF(C491="","",F491+G491+H491)</x:f>
      </x:c>
      <x:c r="K491" s="88" t="str">
        <x:f>IF(C491="","",MAX(0,SUMIFS(SONDERZAHLUNGEN!$E$9:$E$128,SONDERZAHLUNGEN!$B$9:$B$128,C491,SONDERZAHLUNGEN!$C$9:$C$128,A491,SONDERZAHLUNGEN!$H$9:$H$128,"OK",SONDERZAHLUNGEN!$F$9:$F$128,"Ja")-G491))</x:f>
      </x:c>
    </x:row>
    <x:row r="492" ht="19" customHeight="1">
      <x:c r="A492" s="90" t="n">
        <x:f>MONATSBUDGET!$A$31</x:f>
        <x:v>46935</x:v>
      </x:c>
      <x:c r="B492" t="n">
        <x:f>13</x:f>
        <x:v>13</x:v>
      </x:c>
      <x:c r="C492" t="str">
        <x:f>IF($N$21="","",$N$21)</x:f>
      </x:c>
      <x:c r="D492" s="88" t="str">
        <x:f>IF(C492="","",I472)</x:f>
      </x:c>
      <x:c r="E492" s="88" t="str">
        <x:f>IF(C492="","",ROUND(D492*$P$21/12,2))</x:f>
      </x:c>
      <x:c r="F492" s="88" t="str">
        <x:f>IF(C492="","",MIN(D492+E492,$Q$21))</x:f>
      </x:c>
      <x:c r="G492" s="88" t="str">
        <x:f>IF(C492="","",MIN(MAX(0,D492+E492-F492),SUMIFS(SONDERZAHLUNGEN!$E$9:$E$128,SONDERZAHLUNGEN!$B$9:$B$128,C492,SONDERZAHLUNGEN!$C$9:$C$128,A492,SONDERZAHLUNGEN!$H$9:$H$128,"OK",SONDERZAHLUNGEN!$F$9:$F$128,"Ja")))</x:f>
      </x:c>
      <x:c r="H492" s="88" t="str">
        <x:f>IF(C492="","",MIN(MAX(0,D492+E492-F492-G492),MAX(0,IF(MONATSBUDGET!$C$31="",0,MONATSBUDGET!$C$31)-SUM(F480:F499)-SUM(H480:H491))))</x:f>
      </x:c>
      <x:c r="I492" s="88" t="str">
        <x:f>IF(C492="","",MAX(0,ROUND(D492+E492-F492-G492-H492,2)))</x:f>
      </x:c>
      <x:c r="J492" s="88" t="str">
        <x:f>IF(C492="","",F492+G492+H492)</x:f>
      </x:c>
      <x:c r="K492" s="88" t="str">
        <x:f>IF(C492="","",MAX(0,SUMIFS(SONDERZAHLUNGEN!$E$9:$E$128,SONDERZAHLUNGEN!$B$9:$B$128,C492,SONDERZAHLUNGEN!$C$9:$C$128,A492,SONDERZAHLUNGEN!$H$9:$H$128,"OK",SONDERZAHLUNGEN!$F$9:$F$128,"Ja")-G492))</x:f>
      </x:c>
    </x:row>
    <x:row r="493" ht="19" customHeight="1">
      <x:c r="A493" s="90" t="n">
        <x:f>MONATSBUDGET!$A$31</x:f>
        <x:v>46935</x:v>
      </x:c>
      <x:c r="B493" t="n">
        <x:f>14</x:f>
        <x:v>14</x:v>
      </x:c>
      <x:c r="C493" t="str">
        <x:f>IF($N$22="","",$N$22)</x:f>
      </x:c>
      <x:c r="D493" s="88" t="str">
        <x:f>IF(C493="","",I473)</x:f>
      </x:c>
      <x:c r="E493" s="88" t="str">
        <x:f>IF(C493="","",ROUND(D493*$P$22/12,2))</x:f>
      </x:c>
      <x:c r="F493" s="88" t="str">
        <x:f>IF(C493="","",MIN(D493+E493,$Q$22))</x:f>
      </x:c>
      <x:c r="G493" s="88" t="str">
        <x:f>IF(C493="","",MIN(MAX(0,D493+E493-F493),SUMIFS(SONDERZAHLUNGEN!$E$9:$E$128,SONDERZAHLUNGEN!$B$9:$B$128,C493,SONDERZAHLUNGEN!$C$9:$C$128,A493,SONDERZAHLUNGEN!$H$9:$H$128,"OK",SONDERZAHLUNGEN!$F$9:$F$128,"Ja")))</x:f>
      </x:c>
      <x:c r="H493" s="88" t="str">
        <x:f>IF(C493="","",MIN(MAX(0,D493+E493-F493-G493),MAX(0,IF(MONATSBUDGET!$C$31="",0,MONATSBUDGET!$C$31)-SUM(F480:F499)-SUM(H480:H492))))</x:f>
      </x:c>
      <x:c r="I493" s="88" t="str">
        <x:f>IF(C493="","",MAX(0,ROUND(D493+E493-F493-G493-H493,2)))</x:f>
      </x:c>
      <x:c r="J493" s="88" t="str">
        <x:f>IF(C493="","",F493+G493+H493)</x:f>
      </x:c>
      <x:c r="K493" s="88" t="str">
        <x:f>IF(C493="","",MAX(0,SUMIFS(SONDERZAHLUNGEN!$E$9:$E$128,SONDERZAHLUNGEN!$B$9:$B$128,C493,SONDERZAHLUNGEN!$C$9:$C$128,A493,SONDERZAHLUNGEN!$H$9:$H$128,"OK",SONDERZAHLUNGEN!$F$9:$F$128,"Ja")-G493))</x:f>
      </x:c>
    </x:row>
    <x:row r="494" ht="19" customHeight="1">
      <x:c r="A494" s="90" t="n">
        <x:f>MONATSBUDGET!$A$31</x:f>
        <x:v>46935</x:v>
      </x:c>
      <x:c r="B494" t="n">
        <x:f>15</x:f>
        <x:v>15</x:v>
      </x:c>
      <x:c r="C494" t="str">
        <x:f>IF($N$23="","",$N$23)</x:f>
      </x:c>
      <x:c r="D494" s="88" t="str">
        <x:f>IF(C494="","",I474)</x:f>
      </x:c>
      <x:c r="E494" s="88" t="str">
        <x:f>IF(C494="","",ROUND(D494*$P$23/12,2))</x:f>
      </x:c>
      <x:c r="F494" s="88" t="str">
        <x:f>IF(C494="","",MIN(D494+E494,$Q$23))</x:f>
      </x:c>
      <x:c r="G494" s="88" t="str">
        <x:f>IF(C494="","",MIN(MAX(0,D494+E494-F494),SUMIFS(SONDERZAHLUNGEN!$E$9:$E$128,SONDERZAHLUNGEN!$B$9:$B$128,C494,SONDERZAHLUNGEN!$C$9:$C$128,A494,SONDERZAHLUNGEN!$H$9:$H$128,"OK",SONDERZAHLUNGEN!$F$9:$F$128,"Ja")))</x:f>
      </x:c>
      <x:c r="H494" s="88" t="str">
        <x:f>IF(C494="","",MIN(MAX(0,D494+E494-F494-G494),MAX(0,IF(MONATSBUDGET!$C$31="",0,MONATSBUDGET!$C$31)-SUM(F480:F499)-SUM(H480:H493))))</x:f>
      </x:c>
      <x:c r="I494" s="88" t="str">
        <x:f>IF(C494="","",MAX(0,ROUND(D494+E494-F494-G494-H494,2)))</x:f>
      </x:c>
      <x:c r="J494" s="88" t="str">
        <x:f>IF(C494="","",F494+G494+H494)</x:f>
      </x:c>
      <x:c r="K494" s="88" t="str">
        <x:f>IF(C494="","",MAX(0,SUMIFS(SONDERZAHLUNGEN!$E$9:$E$128,SONDERZAHLUNGEN!$B$9:$B$128,C494,SONDERZAHLUNGEN!$C$9:$C$128,A494,SONDERZAHLUNGEN!$H$9:$H$128,"OK",SONDERZAHLUNGEN!$F$9:$F$128,"Ja")-G494))</x:f>
      </x:c>
    </x:row>
    <x:row r="495" ht="19" customHeight="1">
      <x:c r="A495" s="90" t="n">
        <x:f>MONATSBUDGET!$A$31</x:f>
        <x:v>46935</x:v>
      </x:c>
      <x:c r="B495" t="n">
        <x:f>16</x:f>
        <x:v>16</x:v>
      </x:c>
      <x:c r="C495" t="str">
        <x:f>IF($N$24="","",$N$24)</x:f>
      </x:c>
      <x:c r="D495" s="88" t="str">
        <x:f>IF(C495="","",I475)</x:f>
      </x:c>
      <x:c r="E495" s="88" t="str">
        <x:f>IF(C495="","",ROUND(D495*$P$24/12,2))</x:f>
      </x:c>
      <x:c r="F495" s="88" t="str">
        <x:f>IF(C495="","",MIN(D495+E495,$Q$24))</x:f>
      </x:c>
      <x:c r="G495" s="88" t="str">
        <x:f>IF(C495="","",MIN(MAX(0,D495+E495-F495),SUMIFS(SONDERZAHLUNGEN!$E$9:$E$128,SONDERZAHLUNGEN!$B$9:$B$128,C495,SONDERZAHLUNGEN!$C$9:$C$128,A495,SONDERZAHLUNGEN!$H$9:$H$128,"OK",SONDERZAHLUNGEN!$F$9:$F$128,"Ja")))</x:f>
      </x:c>
      <x:c r="H495" s="88" t="str">
        <x:f>IF(C495="","",MIN(MAX(0,D495+E495-F495-G495),MAX(0,IF(MONATSBUDGET!$C$31="",0,MONATSBUDGET!$C$31)-SUM(F480:F499)-SUM(H480:H494))))</x:f>
      </x:c>
      <x:c r="I495" s="88" t="str">
        <x:f>IF(C495="","",MAX(0,ROUND(D495+E495-F495-G495-H495,2)))</x:f>
      </x:c>
      <x:c r="J495" s="88" t="str">
        <x:f>IF(C495="","",F495+G495+H495)</x:f>
      </x:c>
      <x:c r="K495" s="88" t="str">
        <x:f>IF(C495="","",MAX(0,SUMIFS(SONDERZAHLUNGEN!$E$9:$E$128,SONDERZAHLUNGEN!$B$9:$B$128,C495,SONDERZAHLUNGEN!$C$9:$C$128,A495,SONDERZAHLUNGEN!$H$9:$H$128,"OK",SONDERZAHLUNGEN!$F$9:$F$128,"Ja")-G495))</x:f>
      </x:c>
    </x:row>
    <x:row r="496" ht="19" customHeight="1">
      <x:c r="A496" s="90" t="n">
        <x:f>MONATSBUDGET!$A$31</x:f>
        <x:v>46935</x:v>
      </x:c>
      <x:c r="B496" t="n">
        <x:f>17</x:f>
        <x:v>17</x:v>
      </x:c>
      <x:c r="C496" t="str">
        <x:f>IF($N$25="","",$N$25)</x:f>
      </x:c>
      <x:c r="D496" s="88" t="str">
        <x:f>IF(C496="","",I476)</x:f>
      </x:c>
      <x:c r="E496" s="88" t="str">
        <x:f>IF(C496="","",ROUND(D496*$P$25/12,2))</x:f>
      </x:c>
      <x:c r="F496" s="88" t="str">
        <x:f>IF(C496="","",MIN(D496+E496,$Q$25))</x:f>
      </x:c>
      <x:c r="G496" s="88" t="str">
        <x:f>IF(C496="","",MIN(MAX(0,D496+E496-F496),SUMIFS(SONDERZAHLUNGEN!$E$9:$E$128,SONDERZAHLUNGEN!$B$9:$B$128,C496,SONDERZAHLUNGEN!$C$9:$C$128,A496,SONDERZAHLUNGEN!$H$9:$H$128,"OK",SONDERZAHLUNGEN!$F$9:$F$128,"Ja")))</x:f>
      </x:c>
      <x:c r="H496" s="88" t="str">
        <x:f>IF(C496="","",MIN(MAX(0,D496+E496-F496-G496),MAX(0,IF(MONATSBUDGET!$C$31="",0,MONATSBUDGET!$C$31)-SUM(F480:F499)-SUM(H480:H495))))</x:f>
      </x:c>
      <x:c r="I496" s="88" t="str">
        <x:f>IF(C496="","",MAX(0,ROUND(D496+E496-F496-G496-H496,2)))</x:f>
      </x:c>
      <x:c r="J496" s="88" t="str">
        <x:f>IF(C496="","",F496+G496+H496)</x:f>
      </x:c>
      <x:c r="K496" s="88" t="str">
        <x:f>IF(C496="","",MAX(0,SUMIFS(SONDERZAHLUNGEN!$E$9:$E$128,SONDERZAHLUNGEN!$B$9:$B$128,C496,SONDERZAHLUNGEN!$C$9:$C$128,A496,SONDERZAHLUNGEN!$H$9:$H$128,"OK",SONDERZAHLUNGEN!$F$9:$F$128,"Ja")-G496))</x:f>
      </x:c>
    </x:row>
    <x:row r="497" ht="19" customHeight="1">
      <x:c r="A497" s="90" t="n">
        <x:f>MONATSBUDGET!$A$31</x:f>
        <x:v>46935</x:v>
      </x:c>
      <x:c r="B497" t="n">
        <x:f>18</x:f>
        <x:v>18</x:v>
      </x:c>
      <x:c r="C497" t="str">
        <x:f>IF($N$26="","",$N$26)</x:f>
      </x:c>
      <x:c r="D497" s="88" t="str">
        <x:f>IF(C497="","",I477)</x:f>
      </x:c>
      <x:c r="E497" s="88" t="str">
        <x:f>IF(C497="","",ROUND(D497*$P$26/12,2))</x:f>
      </x:c>
      <x:c r="F497" s="88" t="str">
        <x:f>IF(C497="","",MIN(D497+E497,$Q$26))</x:f>
      </x:c>
      <x:c r="G497" s="88" t="str">
        <x:f>IF(C497="","",MIN(MAX(0,D497+E497-F497),SUMIFS(SONDERZAHLUNGEN!$E$9:$E$128,SONDERZAHLUNGEN!$B$9:$B$128,C497,SONDERZAHLUNGEN!$C$9:$C$128,A497,SONDERZAHLUNGEN!$H$9:$H$128,"OK",SONDERZAHLUNGEN!$F$9:$F$128,"Ja")))</x:f>
      </x:c>
      <x:c r="H497" s="88" t="str">
        <x:f>IF(C497="","",MIN(MAX(0,D497+E497-F497-G497),MAX(0,IF(MONATSBUDGET!$C$31="",0,MONATSBUDGET!$C$31)-SUM(F480:F499)-SUM(H480:H496))))</x:f>
      </x:c>
      <x:c r="I497" s="88" t="str">
        <x:f>IF(C497="","",MAX(0,ROUND(D497+E497-F497-G497-H497,2)))</x:f>
      </x:c>
      <x:c r="J497" s="88" t="str">
        <x:f>IF(C497="","",F497+G497+H497)</x:f>
      </x:c>
      <x:c r="K497" s="88" t="str">
        <x:f>IF(C497="","",MAX(0,SUMIFS(SONDERZAHLUNGEN!$E$9:$E$128,SONDERZAHLUNGEN!$B$9:$B$128,C497,SONDERZAHLUNGEN!$C$9:$C$128,A497,SONDERZAHLUNGEN!$H$9:$H$128,"OK",SONDERZAHLUNGEN!$F$9:$F$128,"Ja")-G497))</x:f>
      </x:c>
    </x:row>
    <x:row r="498" ht="19" customHeight="1">
      <x:c r="A498" s="90" t="n">
        <x:f>MONATSBUDGET!$A$31</x:f>
        <x:v>46935</x:v>
      </x:c>
      <x:c r="B498" t="n">
        <x:f>19</x:f>
        <x:v>19</x:v>
      </x:c>
      <x:c r="C498" t="str">
        <x:f>IF($N$27="","",$N$27)</x:f>
      </x:c>
      <x:c r="D498" s="88" t="str">
        <x:f>IF(C498="","",I478)</x:f>
      </x:c>
      <x:c r="E498" s="88" t="str">
        <x:f>IF(C498="","",ROUND(D498*$P$27/12,2))</x:f>
      </x:c>
      <x:c r="F498" s="88" t="str">
        <x:f>IF(C498="","",MIN(D498+E498,$Q$27))</x:f>
      </x:c>
      <x:c r="G498" s="88" t="str">
        <x:f>IF(C498="","",MIN(MAX(0,D498+E498-F498),SUMIFS(SONDERZAHLUNGEN!$E$9:$E$128,SONDERZAHLUNGEN!$B$9:$B$128,C498,SONDERZAHLUNGEN!$C$9:$C$128,A498,SONDERZAHLUNGEN!$H$9:$H$128,"OK",SONDERZAHLUNGEN!$F$9:$F$128,"Ja")))</x:f>
      </x:c>
      <x:c r="H498" s="88" t="str">
        <x:f>IF(C498="","",MIN(MAX(0,D498+E498-F498-G498),MAX(0,IF(MONATSBUDGET!$C$31="",0,MONATSBUDGET!$C$31)-SUM(F480:F499)-SUM(H480:H497))))</x:f>
      </x:c>
      <x:c r="I498" s="88" t="str">
        <x:f>IF(C498="","",MAX(0,ROUND(D498+E498-F498-G498-H498,2)))</x:f>
      </x:c>
      <x:c r="J498" s="88" t="str">
        <x:f>IF(C498="","",F498+G498+H498)</x:f>
      </x:c>
      <x:c r="K498" s="88" t="str">
        <x:f>IF(C498="","",MAX(0,SUMIFS(SONDERZAHLUNGEN!$E$9:$E$128,SONDERZAHLUNGEN!$B$9:$B$128,C498,SONDERZAHLUNGEN!$C$9:$C$128,A498,SONDERZAHLUNGEN!$H$9:$H$128,"OK",SONDERZAHLUNGEN!$F$9:$F$128,"Ja")-G498))</x:f>
      </x:c>
    </x:row>
    <x:row r="499" ht="19" customHeight="1">
      <x:c r="A499" s="90" t="n">
        <x:f>MONATSBUDGET!$A$31</x:f>
        <x:v>46935</x:v>
      </x:c>
      <x:c r="B499" t="n">
        <x:f>20</x:f>
        <x:v>20</x:v>
      </x:c>
      <x:c r="C499" t="str">
        <x:f>IF($N$28="","",$N$28)</x:f>
      </x:c>
      <x:c r="D499" s="88" t="str">
        <x:f>IF(C499="","",I479)</x:f>
      </x:c>
      <x:c r="E499" s="88" t="str">
        <x:f>IF(C499="","",ROUND(D499*$P$28/12,2))</x:f>
      </x:c>
      <x:c r="F499" s="88" t="str">
        <x:f>IF(C499="","",MIN(D499+E499,$Q$28))</x:f>
      </x:c>
      <x:c r="G499" s="88" t="str">
        <x:f>IF(C499="","",MIN(MAX(0,D499+E499-F499),SUMIFS(SONDERZAHLUNGEN!$E$9:$E$128,SONDERZAHLUNGEN!$B$9:$B$128,C499,SONDERZAHLUNGEN!$C$9:$C$128,A499,SONDERZAHLUNGEN!$H$9:$H$128,"OK",SONDERZAHLUNGEN!$F$9:$F$128,"Ja")))</x:f>
      </x:c>
      <x:c r="H499" s="88" t="str">
        <x:f>IF(C499="","",MIN(MAX(0,D499+E499-F499-G499),MAX(0,IF(MONATSBUDGET!$C$31="",0,MONATSBUDGET!$C$31)-SUM(F480:F499)-SUM(H480:H498))))</x:f>
      </x:c>
      <x:c r="I499" s="88" t="str">
        <x:f>IF(C499="","",MAX(0,ROUND(D499+E499-F499-G499-H499,2)))</x:f>
      </x:c>
      <x:c r="J499" s="88" t="str">
        <x:f>IF(C499="","",F499+G499+H499)</x:f>
      </x:c>
      <x:c r="K499" s="88" t="str">
        <x:f>IF(C499="","",MAX(0,SUMIFS(SONDERZAHLUNGEN!$E$9:$E$128,SONDERZAHLUNGEN!$B$9:$B$128,C499,SONDERZAHLUNGEN!$C$9:$C$128,A499,SONDERZAHLUNGEN!$H$9:$H$128,"OK",SONDERZAHLUNGEN!$F$9:$F$128,"Ja")-G499))</x:f>
      </x:c>
    </x:row>
    <x:row r="500" ht="19" customHeight="1">
      <x:c r="A500" s="90" t="n">
        <x:f>MONATSBUDGET!$A$32</x:f>
        <x:v>46966</x:v>
      </x:c>
      <x:c r="B500" t="n">
        <x:f>1</x:f>
        <x:v>1</x:v>
      </x:c>
      <x:c r="C500" t="str">
        <x:f>IF($N$9="","",$N$9)</x:f>
      </x:c>
      <x:c r="D500" s="88" t="str">
        <x:f>IF(C500="","",I480)</x:f>
      </x:c>
      <x:c r="E500" s="88" t="str">
        <x:f>IF(C500="","",ROUND(D500*$P$9/12,2))</x:f>
      </x:c>
      <x:c r="F500" s="88" t="str">
        <x:f>IF(C500="","",MIN(D500+E500,$Q$9))</x:f>
      </x:c>
      <x:c r="G500" s="88" t="str">
        <x:f>IF(C500="","",MIN(MAX(0,D500+E500-F500),SUMIFS(SONDERZAHLUNGEN!$E$9:$E$128,SONDERZAHLUNGEN!$B$9:$B$128,C500,SONDERZAHLUNGEN!$C$9:$C$128,A500,SONDERZAHLUNGEN!$H$9:$H$128,"OK",SONDERZAHLUNGEN!$F$9:$F$128,"Ja")))</x:f>
      </x:c>
      <x:c r="H500" s="88" t="str">
        <x:f>IF(C500="","",MIN(MAX(0,D500+E500-F500-G500),MAX(0,IF(MONATSBUDGET!$C$32="",0,MONATSBUDGET!$C$32)-SUM(F500:F519)-0)))</x:f>
      </x:c>
      <x:c r="I500" s="88" t="str">
        <x:f>IF(C500="","",MAX(0,ROUND(D500+E500-F500-G500-H500,2)))</x:f>
      </x:c>
      <x:c r="J500" s="88" t="str">
        <x:f>IF(C500="","",F500+G500+H500)</x:f>
      </x:c>
      <x:c r="K500" s="88" t="str">
        <x:f>IF(C500="","",MAX(0,SUMIFS(SONDERZAHLUNGEN!$E$9:$E$128,SONDERZAHLUNGEN!$B$9:$B$128,C500,SONDERZAHLUNGEN!$C$9:$C$128,A500,SONDERZAHLUNGEN!$H$9:$H$128,"OK",SONDERZAHLUNGEN!$F$9:$F$128,"Ja")-G500))</x:f>
      </x:c>
    </x:row>
    <x:row r="501" ht="19" customHeight="1">
      <x:c r="A501" s="90" t="n">
        <x:f>MONATSBUDGET!$A$32</x:f>
        <x:v>46966</x:v>
      </x:c>
      <x:c r="B501" t="n">
        <x:f>2</x:f>
        <x:v>2</x:v>
      </x:c>
      <x:c r="C501" t="str">
        <x:f>IF($N$10="","",$N$10)</x:f>
      </x:c>
      <x:c r="D501" s="88" t="str">
        <x:f>IF(C501="","",I481)</x:f>
      </x:c>
      <x:c r="E501" s="88" t="str">
        <x:f>IF(C501="","",ROUND(D501*$P$10/12,2))</x:f>
      </x:c>
      <x:c r="F501" s="88" t="str">
        <x:f>IF(C501="","",MIN(D501+E501,$Q$10))</x:f>
      </x:c>
      <x:c r="G501" s="88" t="str">
        <x:f>IF(C501="","",MIN(MAX(0,D501+E501-F501),SUMIFS(SONDERZAHLUNGEN!$E$9:$E$128,SONDERZAHLUNGEN!$B$9:$B$128,C501,SONDERZAHLUNGEN!$C$9:$C$128,A501,SONDERZAHLUNGEN!$H$9:$H$128,"OK",SONDERZAHLUNGEN!$F$9:$F$128,"Ja")))</x:f>
      </x:c>
      <x:c r="H501" s="88" t="str">
        <x:f>IF(C501="","",MIN(MAX(0,D501+E501-F501-G501),MAX(0,IF(MONATSBUDGET!$C$32="",0,MONATSBUDGET!$C$32)-SUM(F500:F519)-SUM(H500:H500))))</x:f>
      </x:c>
      <x:c r="I501" s="88" t="str">
        <x:f>IF(C501="","",MAX(0,ROUND(D501+E501-F501-G501-H501,2)))</x:f>
      </x:c>
      <x:c r="J501" s="88" t="str">
        <x:f>IF(C501="","",F501+G501+H501)</x:f>
      </x:c>
      <x:c r="K501" s="88" t="str">
        <x:f>IF(C501="","",MAX(0,SUMIFS(SONDERZAHLUNGEN!$E$9:$E$128,SONDERZAHLUNGEN!$B$9:$B$128,C501,SONDERZAHLUNGEN!$C$9:$C$128,A501,SONDERZAHLUNGEN!$H$9:$H$128,"OK",SONDERZAHLUNGEN!$F$9:$F$128,"Ja")-G501))</x:f>
      </x:c>
    </x:row>
    <x:row r="502" ht="19" customHeight="1">
      <x:c r="A502" s="90" t="n">
        <x:f>MONATSBUDGET!$A$32</x:f>
        <x:v>46966</x:v>
      </x:c>
      <x:c r="B502" t="n">
        <x:f>3</x:f>
        <x:v>3</x:v>
      </x:c>
      <x:c r="C502" t="str">
        <x:f>IF($N$11="","",$N$11)</x:f>
      </x:c>
      <x:c r="D502" s="88" t="str">
        <x:f>IF(C502="","",I482)</x:f>
      </x:c>
      <x:c r="E502" s="88" t="str">
        <x:f>IF(C502="","",ROUND(D502*$P$11/12,2))</x:f>
      </x:c>
      <x:c r="F502" s="88" t="str">
        <x:f>IF(C502="","",MIN(D502+E502,$Q$11))</x:f>
      </x:c>
      <x:c r="G502" s="88" t="str">
        <x:f>IF(C502="","",MIN(MAX(0,D502+E502-F502),SUMIFS(SONDERZAHLUNGEN!$E$9:$E$128,SONDERZAHLUNGEN!$B$9:$B$128,C502,SONDERZAHLUNGEN!$C$9:$C$128,A502,SONDERZAHLUNGEN!$H$9:$H$128,"OK",SONDERZAHLUNGEN!$F$9:$F$128,"Ja")))</x:f>
      </x:c>
      <x:c r="H502" s="88" t="str">
        <x:f>IF(C502="","",MIN(MAX(0,D502+E502-F502-G502),MAX(0,IF(MONATSBUDGET!$C$32="",0,MONATSBUDGET!$C$32)-SUM(F500:F519)-SUM(H500:H501))))</x:f>
      </x:c>
      <x:c r="I502" s="88" t="str">
        <x:f>IF(C502="","",MAX(0,ROUND(D502+E502-F502-G502-H502,2)))</x:f>
      </x:c>
      <x:c r="J502" s="88" t="str">
        <x:f>IF(C502="","",F502+G502+H502)</x:f>
      </x:c>
      <x:c r="K502" s="88" t="str">
        <x:f>IF(C502="","",MAX(0,SUMIFS(SONDERZAHLUNGEN!$E$9:$E$128,SONDERZAHLUNGEN!$B$9:$B$128,C502,SONDERZAHLUNGEN!$C$9:$C$128,A502,SONDERZAHLUNGEN!$H$9:$H$128,"OK",SONDERZAHLUNGEN!$F$9:$F$128,"Ja")-G502))</x:f>
      </x:c>
    </x:row>
    <x:row r="503" ht="19" customHeight="1">
      <x:c r="A503" s="90" t="n">
        <x:f>MONATSBUDGET!$A$32</x:f>
        <x:v>46966</x:v>
      </x:c>
      <x:c r="B503" t="n">
        <x:f>4</x:f>
        <x:v>4</x:v>
      </x:c>
      <x:c r="C503" t="str">
        <x:f>IF($N$12="","",$N$12)</x:f>
      </x:c>
      <x:c r="D503" s="88" t="str">
        <x:f>IF(C503="","",I483)</x:f>
      </x:c>
      <x:c r="E503" s="88" t="str">
        <x:f>IF(C503="","",ROUND(D503*$P$12/12,2))</x:f>
      </x:c>
      <x:c r="F503" s="88" t="str">
        <x:f>IF(C503="","",MIN(D503+E503,$Q$12))</x:f>
      </x:c>
      <x:c r="G503" s="88" t="str">
        <x:f>IF(C503="","",MIN(MAX(0,D503+E503-F503),SUMIFS(SONDERZAHLUNGEN!$E$9:$E$128,SONDERZAHLUNGEN!$B$9:$B$128,C503,SONDERZAHLUNGEN!$C$9:$C$128,A503,SONDERZAHLUNGEN!$H$9:$H$128,"OK",SONDERZAHLUNGEN!$F$9:$F$128,"Ja")))</x:f>
      </x:c>
      <x:c r="H503" s="88" t="str">
        <x:f>IF(C503="","",MIN(MAX(0,D503+E503-F503-G503),MAX(0,IF(MONATSBUDGET!$C$32="",0,MONATSBUDGET!$C$32)-SUM(F500:F519)-SUM(H500:H502))))</x:f>
      </x:c>
      <x:c r="I503" s="88" t="str">
        <x:f>IF(C503="","",MAX(0,ROUND(D503+E503-F503-G503-H503,2)))</x:f>
      </x:c>
      <x:c r="J503" s="88" t="str">
        <x:f>IF(C503="","",F503+G503+H503)</x:f>
      </x:c>
      <x:c r="K503" s="88" t="str">
        <x:f>IF(C503="","",MAX(0,SUMIFS(SONDERZAHLUNGEN!$E$9:$E$128,SONDERZAHLUNGEN!$B$9:$B$128,C503,SONDERZAHLUNGEN!$C$9:$C$128,A503,SONDERZAHLUNGEN!$H$9:$H$128,"OK",SONDERZAHLUNGEN!$F$9:$F$128,"Ja")-G503))</x:f>
      </x:c>
    </x:row>
    <x:row r="504" ht="19" customHeight="1">
      <x:c r="A504" s="90" t="n">
        <x:f>MONATSBUDGET!$A$32</x:f>
        <x:v>46966</x:v>
      </x:c>
      <x:c r="B504" t="n">
        <x:f>5</x:f>
        <x:v>5</x:v>
      </x:c>
      <x:c r="C504" t="str">
        <x:f>IF($N$13="","",$N$13)</x:f>
      </x:c>
      <x:c r="D504" s="88" t="str">
        <x:f>IF(C504="","",I484)</x:f>
      </x:c>
      <x:c r="E504" s="88" t="str">
        <x:f>IF(C504="","",ROUND(D504*$P$13/12,2))</x:f>
      </x:c>
      <x:c r="F504" s="88" t="str">
        <x:f>IF(C504="","",MIN(D504+E504,$Q$13))</x:f>
      </x:c>
      <x:c r="G504" s="88" t="str">
        <x:f>IF(C504="","",MIN(MAX(0,D504+E504-F504),SUMIFS(SONDERZAHLUNGEN!$E$9:$E$128,SONDERZAHLUNGEN!$B$9:$B$128,C504,SONDERZAHLUNGEN!$C$9:$C$128,A504,SONDERZAHLUNGEN!$H$9:$H$128,"OK",SONDERZAHLUNGEN!$F$9:$F$128,"Ja")))</x:f>
      </x:c>
      <x:c r="H504" s="88" t="str">
        <x:f>IF(C504="","",MIN(MAX(0,D504+E504-F504-G504),MAX(0,IF(MONATSBUDGET!$C$32="",0,MONATSBUDGET!$C$32)-SUM(F500:F519)-SUM(H500:H503))))</x:f>
      </x:c>
      <x:c r="I504" s="88" t="str">
        <x:f>IF(C504="","",MAX(0,ROUND(D504+E504-F504-G504-H504,2)))</x:f>
      </x:c>
      <x:c r="J504" s="88" t="str">
        <x:f>IF(C504="","",F504+G504+H504)</x:f>
      </x:c>
      <x:c r="K504" s="88" t="str">
        <x:f>IF(C504="","",MAX(0,SUMIFS(SONDERZAHLUNGEN!$E$9:$E$128,SONDERZAHLUNGEN!$B$9:$B$128,C504,SONDERZAHLUNGEN!$C$9:$C$128,A504,SONDERZAHLUNGEN!$H$9:$H$128,"OK",SONDERZAHLUNGEN!$F$9:$F$128,"Ja")-G504))</x:f>
      </x:c>
    </x:row>
    <x:row r="505" ht="19" customHeight="1">
      <x:c r="A505" s="90" t="n">
        <x:f>MONATSBUDGET!$A$32</x:f>
        <x:v>46966</x:v>
      </x:c>
      <x:c r="B505" t="n">
        <x:f>6</x:f>
        <x:v>6</x:v>
      </x:c>
      <x:c r="C505" t="str">
        <x:f>IF($N$14="","",$N$14)</x:f>
      </x:c>
      <x:c r="D505" s="88" t="str">
        <x:f>IF(C505="","",I485)</x:f>
      </x:c>
      <x:c r="E505" s="88" t="str">
        <x:f>IF(C505="","",ROUND(D505*$P$14/12,2))</x:f>
      </x:c>
      <x:c r="F505" s="88" t="str">
        <x:f>IF(C505="","",MIN(D505+E505,$Q$14))</x:f>
      </x:c>
      <x:c r="G505" s="88" t="str">
        <x:f>IF(C505="","",MIN(MAX(0,D505+E505-F505),SUMIFS(SONDERZAHLUNGEN!$E$9:$E$128,SONDERZAHLUNGEN!$B$9:$B$128,C505,SONDERZAHLUNGEN!$C$9:$C$128,A505,SONDERZAHLUNGEN!$H$9:$H$128,"OK",SONDERZAHLUNGEN!$F$9:$F$128,"Ja")))</x:f>
      </x:c>
      <x:c r="H505" s="88" t="str">
        <x:f>IF(C505="","",MIN(MAX(0,D505+E505-F505-G505),MAX(0,IF(MONATSBUDGET!$C$32="",0,MONATSBUDGET!$C$32)-SUM(F500:F519)-SUM(H500:H504))))</x:f>
      </x:c>
      <x:c r="I505" s="88" t="str">
        <x:f>IF(C505="","",MAX(0,ROUND(D505+E505-F505-G505-H505,2)))</x:f>
      </x:c>
      <x:c r="J505" s="88" t="str">
        <x:f>IF(C505="","",F505+G505+H505)</x:f>
      </x:c>
      <x:c r="K505" s="88" t="str">
        <x:f>IF(C505="","",MAX(0,SUMIFS(SONDERZAHLUNGEN!$E$9:$E$128,SONDERZAHLUNGEN!$B$9:$B$128,C505,SONDERZAHLUNGEN!$C$9:$C$128,A505,SONDERZAHLUNGEN!$H$9:$H$128,"OK",SONDERZAHLUNGEN!$F$9:$F$128,"Ja")-G505))</x:f>
      </x:c>
    </x:row>
    <x:row r="506" ht="19" customHeight="1">
      <x:c r="A506" s="90" t="n">
        <x:f>MONATSBUDGET!$A$32</x:f>
        <x:v>46966</x:v>
      </x:c>
      <x:c r="B506" t="n">
        <x:f>7</x:f>
        <x:v>7</x:v>
      </x:c>
      <x:c r="C506" t="str">
        <x:f>IF($N$15="","",$N$15)</x:f>
      </x:c>
      <x:c r="D506" s="88" t="str">
        <x:f>IF(C506="","",I486)</x:f>
      </x:c>
      <x:c r="E506" s="88" t="str">
        <x:f>IF(C506="","",ROUND(D506*$P$15/12,2))</x:f>
      </x:c>
      <x:c r="F506" s="88" t="str">
        <x:f>IF(C506="","",MIN(D506+E506,$Q$15))</x:f>
      </x:c>
      <x:c r="G506" s="88" t="str">
        <x:f>IF(C506="","",MIN(MAX(0,D506+E506-F506),SUMIFS(SONDERZAHLUNGEN!$E$9:$E$128,SONDERZAHLUNGEN!$B$9:$B$128,C506,SONDERZAHLUNGEN!$C$9:$C$128,A506,SONDERZAHLUNGEN!$H$9:$H$128,"OK",SONDERZAHLUNGEN!$F$9:$F$128,"Ja")))</x:f>
      </x:c>
      <x:c r="H506" s="88" t="str">
        <x:f>IF(C506="","",MIN(MAX(0,D506+E506-F506-G506),MAX(0,IF(MONATSBUDGET!$C$32="",0,MONATSBUDGET!$C$32)-SUM(F500:F519)-SUM(H500:H505))))</x:f>
      </x:c>
      <x:c r="I506" s="88" t="str">
        <x:f>IF(C506="","",MAX(0,ROUND(D506+E506-F506-G506-H506,2)))</x:f>
      </x:c>
      <x:c r="J506" s="88" t="str">
        <x:f>IF(C506="","",F506+G506+H506)</x:f>
      </x:c>
      <x:c r="K506" s="88" t="str">
        <x:f>IF(C506="","",MAX(0,SUMIFS(SONDERZAHLUNGEN!$E$9:$E$128,SONDERZAHLUNGEN!$B$9:$B$128,C506,SONDERZAHLUNGEN!$C$9:$C$128,A506,SONDERZAHLUNGEN!$H$9:$H$128,"OK",SONDERZAHLUNGEN!$F$9:$F$128,"Ja")-G506))</x:f>
      </x:c>
    </x:row>
    <x:row r="507" ht="19" customHeight="1">
      <x:c r="A507" s="90" t="n">
        <x:f>MONATSBUDGET!$A$32</x:f>
        <x:v>46966</x:v>
      </x:c>
      <x:c r="B507" t="n">
        <x:f>8</x:f>
        <x:v>8</x:v>
      </x:c>
      <x:c r="C507" t="str">
        <x:f>IF($N$16="","",$N$16)</x:f>
      </x:c>
      <x:c r="D507" s="88" t="str">
        <x:f>IF(C507="","",I487)</x:f>
      </x:c>
      <x:c r="E507" s="88" t="str">
        <x:f>IF(C507="","",ROUND(D507*$P$16/12,2))</x:f>
      </x:c>
      <x:c r="F507" s="88" t="str">
        <x:f>IF(C507="","",MIN(D507+E507,$Q$16))</x:f>
      </x:c>
      <x:c r="G507" s="88" t="str">
        <x:f>IF(C507="","",MIN(MAX(0,D507+E507-F507),SUMIFS(SONDERZAHLUNGEN!$E$9:$E$128,SONDERZAHLUNGEN!$B$9:$B$128,C507,SONDERZAHLUNGEN!$C$9:$C$128,A507,SONDERZAHLUNGEN!$H$9:$H$128,"OK",SONDERZAHLUNGEN!$F$9:$F$128,"Ja")))</x:f>
      </x:c>
      <x:c r="H507" s="88" t="str">
        <x:f>IF(C507="","",MIN(MAX(0,D507+E507-F507-G507),MAX(0,IF(MONATSBUDGET!$C$32="",0,MONATSBUDGET!$C$32)-SUM(F500:F519)-SUM(H500:H506))))</x:f>
      </x:c>
      <x:c r="I507" s="88" t="str">
        <x:f>IF(C507="","",MAX(0,ROUND(D507+E507-F507-G507-H507,2)))</x:f>
      </x:c>
      <x:c r="J507" s="88" t="str">
        <x:f>IF(C507="","",F507+G507+H507)</x:f>
      </x:c>
      <x:c r="K507" s="88" t="str">
        <x:f>IF(C507="","",MAX(0,SUMIFS(SONDERZAHLUNGEN!$E$9:$E$128,SONDERZAHLUNGEN!$B$9:$B$128,C507,SONDERZAHLUNGEN!$C$9:$C$128,A507,SONDERZAHLUNGEN!$H$9:$H$128,"OK",SONDERZAHLUNGEN!$F$9:$F$128,"Ja")-G507))</x:f>
      </x:c>
    </x:row>
    <x:row r="508" ht="19" customHeight="1">
      <x:c r="A508" s="90" t="n">
        <x:f>MONATSBUDGET!$A$32</x:f>
        <x:v>46966</x:v>
      </x:c>
      <x:c r="B508" t="n">
        <x:f>9</x:f>
        <x:v>9</x:v>
      </x:c>
      <x:c r="C508" t="str">
        <x:f>IF($N$17="","",$N$17)</x:f>
      </x:c>
      <x:c r="D508" s="88" t="str">
        <x:f>IF(C508="","",I488)</x:f>
      </x:c>
      <x:c r="E508" s="88" t="str">
        <x:f>IF(C508="","",ROUND(D508*$P$17/12,2))</x:f>
      </x:c>
      <x:c r="F508" s="88" t="str">
        <x:f>IF(C508="","",MIN(D508+E508,$Q$17))</x:f>
      </x:c>
      <x:c r="G508" s="88" t="str">
        <x:f>IF(C508="","",MIN(MAX(0,D508+E508-F508),SUMIFS(SONDERZAHLUNGEN!$E$9:$E$128,SONDERZAHLUNGEN!$B$9:$B$128,C508,SONDERZAHLUNGEN!$C$9:$C$128,A508,SONDERZAHLUNGEN!$H$9:$H$128,"OK",SONDERZAHLUNGEN!$F$9:$F$128,"Ja")))</x:f>
      </x:c>
      <x:c r="H508" s="88" t="str">
        <x:f>IF(C508="","",MIN(MAX(0,D508+E508-F508-G508),MAX(0,IF(MONATSBUDGET!$C$32="",0,MONATSBUDGET!$C$32)-SUM(F500:F519)-SUM(H500:H507))))</x:f>
      </x:c>
      <x:c r="I508" s="88" t="str">
        <x:f>IF(C508="","",MAX(0,ROUND(D508+E508-F508-G508-H508,2)))</x:f>
      </x:c>
      <x:c r="J508" s="88" t="str">
        <x:f>IF(C508="","",F508+G508+H508)</x:f>
      </x:c>
      <x:c r="K508" s="88" t="str">
        <x:f>IF(C508="","",MAX(0,SUMIFS(SONDERZAHLUNGEN!$E$9:$E$128,SONDERZAHLUNGEN!$B$9:$B$128,C508,SONDERZAHLUNGEN!$C$9:$C$128,A508,SONDERZAHLUNGEN!$H$9:$H$128,"OK",SONDERZAHLUNGEN!$F$9:$F$128,"Ja")-G508))</x:f>
      </x:c>
    </x:row>
    <x:row r="509" ht="19" customHeight="1">
      <x:c r="A509" s="90" t="n">
        <x:f>MONATSBUDGET!$A$32</x:f>
        <x:v>46966</x:v>
      </x:c>
      <x:c r="B509" t="n">
        <x:f>10</x:f>
        <x:v>10</x:v>
      </x:c>
      <x:c r="C509" t="str">
        <x:f>IF($N$18="","",$N$18)</x:f>
      </x:c>
      <x:c r="D509" s="88" t="str">
        <x:f>IF(C509="","",I489)</x:f>
      </x:c>
      <x:c r="E509" s="88" t="str">
        <x:f>IF(C509="","",ROUND(D509*$P$18/12,2))</x:f>
      </x:c>
      <x:c r="F509" s="88" t="str">
        <x:f>IF(C509="","",MIN(D509+E509,$Q$18))</x:f>
      </x:c>
      <x:c r="G509" s="88" t="str">
        <x:f>IF(C509="","",MIN(MAX(0,D509+E509-F509),SUMIFS(SONDERZAHLUNGEN!$E$9:$E$128,SONDERZAHLUNGEN!$B$9:$B$128,C509,SONDERZAHLUNGEN!$C$9:$C$128,A509,SONDERZAHLUNGEN!$H$9:$H$128,"OK",SONDERZAHLUNGEN!$F$9:$F$128,"Ja")))</x:f>
      </x:c>
      <x:c r="H509" s="88" t="str">
        <x:f>IF(C509="","",MIN(MAX(0,D509+E509-F509-G509),MAX(0,IF(MONATSBUDGET!$C$32="",0,MONATSBUDGET!$C$32)-SUM(F500:F519)-SUM(H500:H508))))</x:f>
      </x:c>
      <x:c r="I509" s="88" t="str">
        <x:f>IF(C509="","",MAX(0,ROUND(D509+E509-F509-G509-H509,2)))</x:f>
      </x:c>
      <x:c r="J509" s="88" t="str">
        <x:f>IF(C509="","",F509+G509+H509)</x:f>
      </x:c>
      <x:c r="K509" s="88" t="str">
        <x:f>IF(C509="","",MAX(0,SUMIFS(SONDERZAHLUNGEN!$E$9:$E$128,SONDERZAHLUNGEN!$B$9:$B$128,C509,SONDERZAHLUNGEN!$C$9:$C$128,A509,SONDERZAHLUNGEN!$H$9:$H$128,"OK",SONDERZAHLUNGEN!$F$9:$F$128,"Ja")-G509))</x:f>
      </x:c>
    </x:row>
    <x:row r="510" ht="19" customHeight="1">
      <x:c r="A510" s="90" t="n">
        <x:f>MONATSBUDGET!$A$32</x:f>
        <x:v>46966</x:v>
      </x:c>
      <x:c r="B510" t="n">
        <x:f>11</x:f>
        <x:v>11</x:v>
      </x:c>
      <x:c r="C510" t="str">
        <x:f>IF($N$19="","",$N$19)</x:f>
      </x:c>
      <x:c r="D510" s="88" t="str">
        <x:f>IF(C510="","",I490)</x:f>
      </x:c>
      <x:c r="E510" s="88" t="str">
        <x:f>IF(C510="","",ROUND(D510*$P$19/12,2))</x:f>
      </x:c>
      <x:c r="F510" s="88" t="str">
        <x:f>IF(C510="","",MIN(D510+E510,$Q$19))</x:f>
      </x:c>
      <x:c r="G510" s="88" t="str">
        <x:f>IF(C510="","",MIN(MAX(0,D510+E510-F510),SUMIFS(SONDERZAHLUNGEN!$E$9:$E$128,SONDERZAHLUNGEN!$B$9:$B$128,C510,SONDERZAHLUNGEN!$C$9:$C$128,A510,SONDERZAHLUNGEN!$H$9:$H$128,"OK",SONDERZAHLUNGEN!$F$9:$F$128,"Ja")))</x:f>
      </x:c>
      <x:c r="H510" s="88" t="str">
        <x:f>IF(C510="","",MIN(MAX(0,D510+E510-F510-G510),MAX(0,IF(MONATSBUDGET!$C$32="",0,MONATSBUDGET!$C$32)-SUM(F500:F519)-SUM(H500:H509))))</x:f>
      </x:c>
      <x:c r="I510" s="88" t="str">
        <x:f>IF(C510="","",MAX(0,ROUND(D510+E510-F510-G510-H510,2)))</x:f>
      </x:c>
      <x:c r="J510" s="88" t="str">
        <x:f>IF(C510="","",F510+G510+H510)</x:f>
      </x:c>
      <x:c r="K510" s="88" t="str">
        <x:f>IF(C510="","",MAX(0,SUMIFS(SONDERZAHLUNGEN!$E$9:$E$128,SONDERZAHLUNGEN!$B$9:$B$128,C510,SONDERZAHLUNGEN!$C$9:$C$128,A510,SONDERZAHLUNGEN!$H$9:$H$128,"OK",SONDERZAHLUNGEN!$F$9:$F$128,"Ja")-G510))</x:f>
      </x:c>
    </x:row>
    <x:row r="511" ht="19" customHeight="1">
      <x:c r="A511" s="90" t="n">
        <x:f>MONATSBUDGET!$A$32</x:f>
        <x:v>46966</x:v>
      </x:c>
      <x:c r="B511" t="n">
        <x:f>12</x:f>
        <x:v>12</x:v>
      </x:c>
      <x:c r="C511" t="str">
        <x:f>IF($N$20="","",$N$20)</x:f>
      </x:c>
      <x:c r="D511" s="88" t="str">
        <x:f>IF(C511="","",I491)</x:f>
      </x:c>
      <x:c r="E511" s="88" t="str">
        <x:f>IF(C511="","",ROUND(D511*$P$20/12,2))</x:f>
      </x:c>
      <x:c r="F511" s="88" t="str">
        <x:f>IF(C511="","",MIN(D511+E511,$Q$20))</x:f>
      </x:c>
      <x:c r="G511" s="88" t="str">
        <x:f>IF(C511="","",MIN(MAX(0,D511+E511-F511),SUMIFS(SONDERZAHLUNGEN!$E$9:$E$128,SONDERZAHLUNGEN!$B$9:$B$128,C511,SONDERZAHLUNGEN!$C$9:$C$128,A511,SONDERZAHLUNGEN!$H$9:$H$128,"OK",SONDERZAHLUNGEN!$F$9:$F$128,"Ja")))</x:f>
      </x:c>
      <x:c r="H511" s="88" t="str">
        <x:f>IF(C511="","",MIN(MAX(0,D511+E511-F511-G511),MAX(0,IF(MONATSBUDGET!$C$32="",0,MONATSBUDGET!$C$32)-SUM(F500:F519)-SUM(H500:H510))))</x:f>
      </x:c>
      <x:c r="I511" s="88" t="str">
        <x:f>IF(C511="","",MAX(0,ROUND(D511+E511-F511-G511-H511,2)))</x:f>
      </x:c>
      <x:c r="J511" s="88" t="str">
        <x:f>IF(C511="","",F511+G511+H511)</x:f>
      </x:c>
      <x:c r="K511" s="88" t="str">
        <x:f>IF(C511="","",MAX(0,SUMIFS(SONDERZAHLUNGEN!$E$9:$E$128,SONDERZAHLUNGEN!$B$9:$B$128,C511,SONDERZAHLUNGEN!$C$9:$C$128,A511,SONDERZAHLUNGEN!$H$9:$H$128,"OK",SONDERZAHLUNGEN!$F$9:$F$128,"Ja")-G511))</x:f>
      </x:c>
    </x:row>
    <x:row r="512" ht="19" customHeight="1">
      <x:c r="A512" s="90" t="n">
        <x:f>MONATSBUDGET!$A$32</x:f>
        <x:v>46966</x:v>
      </x:c>
      <x:c r="B512" t="n">
        <x:f>13</x:f>
        <x:v>13</x:v>
      </x:c>
      <x:c r="C512" t="str">
        <x:f>IF($N$21="","",$N$21)</x:f>
      </x:c>
      <x:c r="D512" s="88" t="str">
        <x:f>IF(C512="","",I492)</x:f>
      </x:c>
      <x:c r="E512" s="88" t="str">
        <x:f>IF(C512="","",ROUND(D512*$P$21/12,2))</x:f>
      </x:c>
      <x:c r="F512" s="88" t="str">
        <x:f>IF(C512="","",MIN(D512+E512,$Q$21))</x:f>
      </x:c>
      <x:c r="G512" s="88" t="str">
        <x:f>IF(C512="","",MIN(MAX(0,D512+E512-F512),SUMIFS(SONDERZAHLUNGEN!$E$9:$E$128,SONDERZAHLUNGEN!$B$9:$B$128,C512,SONDERZAHLUNGEN!$C$9:$C$128,A512,SONDERZAHLUNGEN!$H$9:$H$128,"OK",SONDERZAHLUNGEN!$F$9:$F$128,"Ja")))</x:f>
      </x:c>
      <x:c r="H512" s="88" t="str">
        <x:f>IF(C512="","",MIN(MAX(0,D512+E512-F512-G512),MAX(0,IF(MONATSBUDGET!$C$32="",0,MONATSBUDGET!$C$32)-SUM(F500:F519)-SUM(H500:H511))))</x:f>
      </x:c>
      <x:c r="I512" s="88" t="str">
        <x:f>IF(C512="","",MAX(0,ROUND(D512+E512-F512-G512-H512,2)))</x:f>
      </x:c>
      <x:c r="J512" s="88" t="str">
        <x:f>IF(C512="","",F512+G512+H512)</x:f>
      </x:c>
      <x:c r="K512" s="88" t="str">
        <x:f>IF(C512="","",MAX(0,SUMIFS(SONDERZAHLUNGEN!$E$9:$E$128,SONDERZAHLUNGEN!$B$9:$B$128,C512,SONDERZAHLUNGEN!$C$9:$C$128,A512,SONDERZAHLUNGEN!$H$9:$H$128,"OK",SONDERZAHLUNGEN!$F$9:$F$128,"Ja")-G512))</x:f>
      </x:c>
    </x:row>
    <x:row r="513" ht="19" customHeight="1">
      <x:c r="A513" s="90" t="n">
        <x:f>MONATSBUDGET!$A$32</x:f>
        <x:v>46966</x:v>
      </x:c>
      <x:c r="B513" t="n">
        <x:f>14</x:f>
        <x:v>14</x:v>
      </x:c>
      <x:c r="C513" t="str">
        <x:f>IF($N$22="","",$N$22)</x:f>
      </x:c>
      <x:c r="D513" s="88" t="str">
        <x:f>IF(C513="","",I493)</x:f>
      </x:c>
      <x:c r="E513" s="88" t="str">
        <x:f>IF(C513="","",ROUND(D513*$P$22/12,2))</x:f>
      </x:c>
      <x:c r="F513" s="88" t="str">
        <x:f>IF(C513="","",MIN(D513+E513,$Q$22))</x:f>
      </x:c>
      <x:c r="G513" s="88" t="str">
        <x:f>IF(C513="","",MIN(MAX(0,D513+E513-F513),SUMIFS(SONDERZAHLUNGEN!$E$9:$E$128,SONDERZAHLUNGEN!$B$9:$B$128,C513,SONDERZAHLUNGEN!$C$9:$C$128,A513,SONDERZAHLUNGEN!$H$9:$H$128,"OK",SONDERZAHLUNGEN!$F$9:$F$128,"Ja")))</x:f>
      </x:c>
      <x:c r="H513" s="88" t="str">
        <x:f>IF(C513="","",MIN(MAX(0,D513+E513-F513-G513),MAX(0,IF(MONATSBUDGET!$C$32="",0,MONATSBUDGET!$C$32)-SUM(F500:F519)-SUM(H500:H512))))</x:f>
      </x:c>
      <x:c r="I513" s="88" t="str">
        <x:f>IF(C513="","",MAX(0,ROUND(D513+E513-F513-G513-H513,2)))</x:f>
      </x:c>
      <x:c r="J513" s="88" t="str">
        <x:f>IF(C513="","",F513+G513+H513)</x:f>
      </x:c>
      <x:c r="K513" s="88" t="str">
        <x:f>IF(C513="","",MAX(0,SUMIFS(SONDERZAHLUNGEN!$E$9:$E$128,SONDERZAHLUNGEN!$B$9:$B$128,C513,SONDERZAHLUNGEN!$C$9:$C$128,A513,SONDERZAHLUNGEN!$H$9:$H$128,"OK",SONDERZAHLUNGEN!$F$9:$F$128,"Ja")-G513))</x:f>
      </x:c>
    </x:row>
    <x:row r="514" ht="19" customHeight="1">
      <x:c r="A514" s="90" t="n">
        <x:f>MONATSBUDGET!$A$32</x:f>
        <x:v>46966</x:v>
      </x:c>
      <x:c r="B514" t="n">
        <x:f>15</x:f>
        <x:v>15</x:v>
      </x:c>
      <x:c r="C514" t="str">
        <x:f>IF($N$23="","",$N$23)</x:f>
      </x:c>
      <x:c r="D514" s="88" t="str">
        <x:f>IF(C514="","",I494)</x:f>
      </x:c>
      <x:c r="E514" s="88" t="str">
        <x:f>IF(C514="","",ROUND(D514*$P$23/12,2))</x:f>
      </x:c>
      <x:c r="F514" s="88" t="str">
        <x:f>IF(C514="","",MIN(D514+E514,$Q$23))</x:f>
      </x:c>
      <x:c r="G514" s="88" t="str">
        <x:f>IF(C514="","",MIN(MAX(0,D514+E514-F514),SUMIFS(SONDERZAHLUNGEN!$E$9:$E$128,SONDERZAHLUNGEN!$B$9:$B$128,C514,SONDERZAHLUNGEN!$C$9:$C$128,A514,SONDERZAHLUNGEN!$H$9:$H$128,"OK",SONDERZAHLUNGEN!$F$9:$F$128,"Ja")))</x:f>
      </x:c>
      <x:c r="H514" s="88" t="str">
        <x:f>IF(C514="","",MIN(MAX(0,D514+E514-F514-G514),MAX(0,IF(MONATSBUDGET!$C$32="",0,MONATSBUDGET!$C$32)-SUM(F500:F519)-SUM(H500:H513))))</x:f>
      </x:c>
      <x:c r="I514" s="88" t="str">
        <x:f>IF(C514="","",MAX(0,ROUND(D514+E514-F514-G514-H514,2)))</x:f>
      </x:c>
      <x:c r="J514" s="88" t="str">
        <x:f>IF(C514="","",F514+G514+H514)</x:f>
      </x:c>
      <x:c r="K514" s="88" t="str">
        <x:f>IF(C514="","",MAX(0,SUMIFS(SONDERZAHLUNGEN!$E$9:$E$128,SONDERZAHLUNGEN!$B$9:$B$128,C514,SONDERZAHLUNGEN!$C$9:$C$128,A514,SONDERZAHLUNGEN!$H$9:$H$128,"OK",SONDERZAHLUNGEN!$F$9:$F$128,"Ja")-G514))</x:f>
      </x:c>
    </x:row>
    <x:row r="515" ht="19" customHeight="1">
      <x:c r="A515" s="90" t="n">
        <x:f>MONATSBUDGET!$A$32</x:f>
        <x:v>46966</x:v>
      </x:c>
      <x:c r="B515" t="n">
        <x:f>16</x:f>
        <x:v>16</x:v>
      </x:c>
      <x:c r="C515" t="str">
        <x:f>IF($N$24="","",$N$24)</x:f>
      </x:c>
      <x:c r="D515" s="88" t="str">
        <x:f>IF(C515="","",I495)</x:f>
      </x:c>
      <x:c r="E515" s="88" t="str">
        <x:f>IF(C515="","",ROUND(D515*$P$24/12,2))</x:f>
      </x:c>
      <x:c r="F515" s="88" t="str">
        <x:f>IF(C515="","",MIN(D515+E515,$Q$24))</x:f>
      </x:c>
      <x:c r="G515" s="88" t="str">
        <x:f>IF(C515="","",MIN(MAX(0,D515+E515-F515),SUMIFS(SONDERZAHLUNGEN!$E$9:$E$128,SONDERZAHLUNGEN!$B$9:$B$128,C515,SONDERZAHLUNGEN!$C$9:$C$128,A515,SONDERZAHLUNGEN!$H$9:$H$128,"OK",SONDERZAHLUNGEN!$F$9:$F$128,"Ja")))</x:f>
      </x:c>
      <x:c r="H515" s="88" t="str">
        <x:f>IF(C515="","",MIN(MAX(0,D515+E515-F515-G515),MAX(0,IF(MONATSBUDGET!$C$32="",0,MONATSBUDGET!$C$32)-SUM(F500:F519)-SUM(H500:H514))))</x:f>
      </x:c>
      <x:c r="I515" s="88" t="str">
        <x:f>IF(C515="","",MAX(0,ROUND(D515+E515-F515-G515-H515,2)))</x:f>
      </x:c>
      <x:c r="J515" s="88" t="str">
        <x:f>IF(C515="","",F515+G515+H515)</x:f>
      </x:c>
      <x:c r="K515" s="88" t="str">
        <x:f>IF(C515="","",MAX(0,SUMIFS(SONDERZAHLUNGEN!$E$9:$E$128,SONDERZAHLUNGEN!$B$9:$B$128,C515,SONDERZAHLUNGEN!$C$9:$C$128,A515,SONDERZAHLUNGEN!$H$9:$H$128,"OK",SONDERZAHLUNGEN!$F$9:$F$128,"Ja")-G515))</x:f>
      </x:c>
    </x:row>
    <x:row r="516" ht="19" customHeight="1">
      <x:c r="A516" s="90" t="n">
        <x:f>MONATSBUDGET!$A$32</x:f>
        <x:v>46966</x:v>
      </x:c>
      <x:c r="B516" t="n">
        <x:f>17</x:f>
        <x:v>17</x:v>
      </x:c>
      <x:c r="C516" t="str">
        <x:f>IF($N$25="","",$N$25)</x:f>
      </x:c>
      <x:c r="D516" s="88" t="str">
        <x:f>IF(C516="","",I496)</x:f>
      </x:c>
      <x:c r="E516" s="88" t="str">
        <x:f>IF(C516="","",ROUND(D516*$P$25/12,2))</x:f>
      </x:c>
      <x:c r="F516" s="88" t="str">
        <x:f>IF(C516="","",MIN(D516+E516,$Q$25))</x:f>
      </x:c>
      <x:c r="G516" s="88" t="str">
        <x:f>IF(C516="","",MIN(MAX(0,D516+E516-F516),SUMIFS(SONDERZAHLUNGEN!$E$9:$E$128,SONDERZAHLUNGEN!$B$9:$B$128,C516,SONDERZAHLUNGEN!$C$9:$C$128,A516,SONDERZAHLUNGEN!$H$9:$H$128,"OK",SONDERZAHLUNGEN!$F$9:$F$128,"Ja")))</x:f>
      </x:c>
      <x:c r="H516" s="88" t="str">
        <x:f>IF(C516="","",MIN(MAX(0,D516+E516-F516-G516),MAX(0,IF(MONATSBUDGET!$C$32="",0,MONATSBUDGET!$C$32)-SUM(F500:F519)-SUM(H500:H515))))</x:f>
      </x:c>
      <x:c r="I516" s="88" t="str">
        <x:f>IF(C516="","",MAX(0,ROUND(D516+E516-F516-G516-H516,2)))</x:f>
      </x:c>
      <x:c r="J516" s="88" t="str">
        <x:f>IF(C516="","",F516+G516+H516)</x:f>
      </x:c>
      <x:c r="K516" s="88" t="str">
        <x:f>IF(C516="","",MAX(0,SUMIFS(SONDERZAHLUNGEN!$E$9:$E$128,SONDERZAHLUNGEN!$B$9:$B$128,C516,SONDERZAHLUNGEN!$C$9:$C$128,A516,SONDERZAHLUNGEN!$H$9:$H$128,"OK",SONDERZAHLUNGEN!$F$9:$F$128,"Ja")-G516))</x:f>
      </x:c>
    </x:row>
    <x:row r="517" ht="19" customHeight="1">
      <x:c r="A517" s="90" t="n">
        <x:f>MONATSBUDGET!$A$32</x:f>
        <x:v>46966</x:v>
      </x:c>
      <x:c r="B517" t="n">
        <x:f>18</x:f>
        <x:v>18</x:v>
      </x:c>
      <x:c r="C517" t="str">
        <x:f>IF($N$26="","",$N$26)</x:f>
      </x:c>
      <x:c r="D517" s="88" t="str">
        <x:f>IF(C517="","",I497)</x:f>
      </x:c>
      <x:c r="E517" s="88" t="str">
        <x:f>IF(C517="","",ROUND(D517*$P$26/12,2))</x:f>
      </x:c>
      <x:c r="F517" s="88" t="str">
        <x:f>IF(C517="","",MIN(D517+E517,$Q$26))</x:f>
      </x:c>
      <x:c r="G517" s="88" t="str">
        <x:f>IF(C517="","",MIN(MAX(0,D517+E517-F517),SUMIFS(SONDERZAHLUNGEN!$E$9:$E$128,SONDERZAHLUNGEN!$B$9:$B$128,C517,SONDERZAHLUNGEN!$C$9:$C$128,A517,SONDERZAHLUNGEN!$H$9:$H$128,"OK",SONDERZAHLUNGEN!$F$9:$F$128,"Ja")))</x:f>
      </x:c>
      <x:c r="H517" s="88" t="str">
        <x:f>IF(C517="","",MIN(MAX(0,D517+E517-F517-G517),MAX(0,IF(MONATSBUDGET!$C$32="",0,MONATSBUDGET!$C$32)-SUM(F500:F519)-SUM(H500:H516))))</x:f>
      </x:c>
      <x:c r="I517" s="88" t="str">
        <x:f>IF(C517="","",MAX(0,ROUND(D517+E517-F517-G517-H517,2)))</x:f>
      </x:c>
      <x:c r="J517" s="88" t="str">
        <x:f>IF(C517="","",F517+G517+H517)</x:f>
      </x:c>
      <x:c r="K517" s="88" t="str">
        <x:f>IF(C517="","",MAX(0,SUMIFS(SONDERZAHLUNGEN!$E$9:$E$128,SONDERZAHLUNGEN!$B$9:$B$128,C517,SONDERZAHLUNGEN!$C$9:$C$128,A517,SONDERZAHLUNGEN!$H$9:$H$128,"OK",SONDERZAHLUNGEN!$F$9:$F$128,"Ja")-G517))</x:f>
      </x:c>
    </x:row>
    <x:row r="518" ht="19" customHeight="1">
      <x:c r="A518" s="90" t="n">
        <x:f>MONATSBUDGET!$A$32</x:f>
        <x:v>46966</x:v>
      </x:c>
      <x:c r="B518" t="n">
        <x:f>19</x:f>
        <x:v>19</x:v>
      </x:c>
      <x:c r="C518" t="str">
        <x:f>IF($N$27="","",$N$27)</x:f>
      </x:c>
      <x:c r="D518" s="88" t="str">
        <x:f>IF(C518="","",I498)</x:f>
      </x:c>
      <x:c r="E518" s="88" t="str">
        <x:f>IF(C518="","",ROUND(D518*$P$27/12,2))</x:f>
      </x:c>
      <x:c r="F518" s="88" t="str">
        <x:f>IF(C518="","",MIN(D518+E518,$Q$27))</x:f>
      </x:c>
      <x:c r="G518" s="88" t="str">
        <x:f>IF(C518="","",MIN(MAX(0,D518+E518-F518),SUMIFS(SONDERZAHLUNGEN!$E$9:$E$128,SONDERZAHLUNGEN!$B$9:$B$128,C518,SONDERZAHLUNGEN!$C$9:$C$128,A518,SONDERZAHLUNGEN!$H$9:$H$128,"OK",SONDERZAHLUNGEN!$F$9:$F$128,"Ja")))</x:f>
      </x:c>
      <x:c r="H518" s="88" t="str">
        <x:f>IF(C518="","",MIN(MAX(0,D518+E518-F518-G518),MAX(0,IF(MONATSBUDGET!$C$32="",0,MONATSBUDGET!$C$32)-SUM(F500:F519)-SUM(H500:H517))))</x:f>
      </x:c>
      <x:c r="I518" s="88" t="str">
        <x:f>IF(C518="","",MAX(0,ROUND(D518+E518-F518-G518-H518,2)))</x:f>
      </x:c>
      <x:c r="J518" s="88" t="str">
        <x:f>IF(C518="","",F518+G518+H518)</x:f>
      </x:c>
      <x:c r="K518" s="88" t="str">
        <x:f>IF(C518="","",MAX(0,SUMIFS(SONDERZAHLUNGEN!$E$9:$E$128,SONDERZAHLUNGEN!$B$9:$B$128,C518,SONDERZAHLUNGEN!$C$9:$C$128,A518,SONDERZAHLUNGEN!$H$9:$H$128,"OK",SONDERZAHLUNGEN!$F$9:$F$128,"Ja")-G518))</x:f>
      </x:c>
    </x:row>
    <x:row r="519" ht="19" customHeight="1">
      <x:c r="A519" s="90" t="n">
        <x:f>MONATSBUDGET!$A$32</x:f>
        <x:v>46966</x:v>
      </x:c>
      <x:c r="B519" t="n">
        <x:f>20</x:f>
        <x:v>20</x:v>
      </x:c>
      <x:c r="C519" t="str">
        <x:f>IF($N$28="","",$N$28)</x:f>
      </x:c>
      <x:c r="D519" s="88" t="str">
        <x:f>IF(C519="","",I499)</x:f>
      </x:c>
      <x:c r="E519" s="88" t="str">
        <x:f>IF(C519="","",ROUND(D519*$P$28/12,2))</x:f>
      </x:c>
      <x:c r="F519" s="88" t="str">
        <x:f>IF(C519="","",MIN(D519+E519,$Q$28))</x:f>
      </x:c>
      <x:c r="G519" s="88" t="str">
        <x:f>IF(C519="","",MIN(MAX(0,D519+E519-F519),SUMIFS(SONDERZAHLUNGEN!$E$9:$E$128,SONDERZAHLUNGEN!$B$9:$B$128,C519,SONDERZAHLUNGEN!$C$9:$C$128,A519,SONDERZAHLUNGEN!$H$9:$H$128,"OK",SONDERZAHLUNGEN!$F$9:$F$128,"Ja")))</x:f>
      </x:c>
      <x:c r="H519" s="88" t="str">
        <x:f>IF(C519="","",MIN(MAX(0,D519+E519-F519-G519),MAX(0,IF(MONATSBUDGET!$C$32="",0,MONATSBUDGET!$C$32)-SUM(F500:F519)-SUM(H500:H518))))</x:f>
      </x:c>
      <x:c r="I519" s="88" t="str">
        <x:f>IF(C519="","",MAX(0,ROUND(D519+E519-F519-G519-H519,2)))</x:f>
      </x:c>
      <x:c r="J519" s="88" t="str">
        <x:f>IF(C519="","",F519+G519+H519)</x:f>
      </x:c>
      <x:c r="K519" s="88" t="str">
        <x:f>IF(C519="","",MAX(0,SUMIFS(SONDERZAHLUNGEN!$E$9:$E$128,SONDERZAHLUNGEN!$B$9:$B$128,C519,SONDERZAHLUNGEN!$C$9:$C$128,A519,SONDERZAHLUNGEN!$H$9:$H$128,"OK",SONDERZAHLUNGEN!$F$9:$F$128,"Ja")-G519))</x:f>
      </x:c>
    </x:row>
    <x:row r="520" ht="19" customHeight="1">
      <x:c r="A520" s="90" t="n">
        <x:f>MONATSBUDGET!$A$33</x:f>
        <x:v>46997</x:v>
      </x:c>
      <x:c r="B520" t="n">
        <x:f>1</x:f>
        <x:v>1</x:v>
      </x:c>
      <x:c r="C520" t="str">
        <x:f>IF($N$9="","",$N$9)</x:f>
      </x:c>
      <x:c r="D520" s="88" t="str">
        <x:f>IF(C520="","",I500)</x:f>
      </x:c>
      <x:c r="E520" s="88" t="str">
        <x:f>IF(C520="","",ROUND(D520*$P$9/12,2))</x:f>
      </x:c>
      <x:c r="F520" s="88" t="str">
        <x:f>IF(C520="","",MIN(D520+E520,$Q$9))</x:f>
      </x:c>
      <x:c r="G520" s="88" t="str">
        <x:f>IF(C520="","",MIN(MAX(0,D520+E520-F520),SUMIFS(SONDERZAHLUNGEN!$E$9:$E$128,SONDERZAHLUNGEN!$B$9:$B$128,C520,SONDERZAHLUNGEN!$C$9:$C$128,A520,SONDERZAHLUNGEN!$H$9:$H$128,"OK",SONDERZAHLUNGEN!$F$9:$F$128,"Ja")))</x:f>
      </x:c>
      <x:c r="H520" s="88" t="str">
        <x:f>IF(C520="","",MIN(MAX(0,D520+E520-F520-G520),MAX(0,IF(MONATSBUDGET!$C$33="",0,MONATSBUDGET!$C$33)-SUM(F520:F539)-0)))</x:f>
      </x:c>
      <x:c r="I520" s="88" t="str">
        <x:f>IF(C520="","",MAX(0,ROUND(D520+E520-F520-G520-H520,2)))</x:f>
      </x:c>
      <x:c r="J520" s="88" t="str">
        <x:f>IF(C520="","",F520+G520+H520)</x:f>
      </x:c>
      <x:c r="K520" s="88" t="str">
        <x:f>IF(C520="","",MAX(0,SUMIFS(SONDERZAHLUNGEN!$E$9:$E$128,SONDERZAHLUNGEN!$B$9:$B$128,C520,SONDERZAHLUNGEN!$C$9:$C$128,A520,SONDERZAHLUNGEN!$H$9:$H$128,"OK",SONDERZAHLUNGEN!$F$9:$F$128,"Ja")-G520))</x:f>
      </x:c>
    </x:row>
    <x:row r="521" ht="19" customHeight="1">
      <x:c r="A521" s="90" t="n">
        <x:f>MONATSBUDGET!$A$33</x:f>
        <x:v>46997</x:v>
      </x:c>
      <x:c r="B521" t="n">
        <x:f>2</x:f>
        <x:v>2</x:v>
      </x:c>
      <x:c r="C521" t="str">
        <x:f>IF($N$10="","",$N$10)</x:f>
      </x:c>
      <x:c r="D521" s="88" t="str">
        <x:f>IF(C521="","",I501)</x:f>
      </x:c>
      <x:c r="E521" s="88" t="str">
        <x:f>IF(C521="","",ROUND(D521*$P$10/12,2))</x:f>
      </x:c>
      <x:c r="F521" s="88" t="str">
        <x:f>IF(C521="","",MIN(D521+E521,$Q$10))</x:f>
      </x:c>
      <x:c r="G521" s="88" t="str">
        <x:f>IF(C521="","",MIN(MAX(0,D521+E521-F521),SUMIFS(SONDERZAHLUNGEN!$E$9:$E$128,SONDERZAHLUNGEN!$B$9:$B$128,C521,SONDERZAHLUNGEN!$C$9:$C$128,A521,SONDERZAHLUNGEN!$H$9:$H$128,"OK",SONDERZAHLUNGEN!$F$9:$F$128,"Ja")))</x:f>
      </x:c>
      <x:c r="H521" s="88" t="str">
        <x:f>IF(C521="","",MIN(MAX(0,D521+E521-F521-G521),MAX(0,IF(MONATSBUDGET!$C$33="",0,MONATSBUDGET!$C$33)-SUM(F520:F539)-SUM(H520:H520))))</x:f>
      </x:c>
      <x:c r="I521" s="88" t="str">
        <x:f>IF(C521="","",MAX(0,ROUND(D521+E521-F521-G521-H521,2)))</x:f>
      </x:c>
      <x:c r="J521" s="88" t="str">
        <x:f>IF(C521="","",F521+G521+H521)</x:f>
      </x:c>
      <x:c r="K521" s="88" t="str">
        <x:f>IF(C521="","",MAX(0,SUMIFS(SONDERZAHLUNGEN!$E$9:$E$128,SONDERZAHLUNGEN!$B$9:$B$128,C521,SONDERZAHLUNGEN!$C$9:$C$128,A521,SONDERZAHLUNGEN!$H$9:$H$128,"OK",SONDERZAHLUNGEN!$F$9:$F$128,"Ja")-G521))</x:f>
      </x:c>
    </x:row>
    <x:row r="522" ht="19" customHeight="1">
      <x:c r="A522" s="90" t="n">
        <x:f>MONATSBUDGET!$A$33</x:f>
        <x:v>46997</x:v>
      </x:c>
      <x:c r="B522" t="n">
        <x:f>3</x:f>
        <x:v>3</x:v>
      </x:c>
      <x:c r="C522" t="str">
        <x:f>IF($N$11="","",$N$11)</x:f>
      </x:c>
      <x:c r="D522" s="88" t="str">
        <x:f>IF(C522="","",I502)</x:f>
      </x:c>
      <x:c r="E522" s="88" t="str">
        <x:f>IF(C522="","",ROUND(D522*$P$11/12,2))</x:f>
      </x:c>
      <x:c r="F522" s="88" t="str">
        <x:f>IF(C522="","",MIN(D522+E522,$Q$11))</x:f>
      </x:c>
      <x:c r="G522" s="88" t="str">
        <x:f>IF(C522="","",MIN(MAX(0,D522+E522-F522),SUMIFS(SONDERZAHLUNGEN!$E$9:$E$128,SONDERZAHLUNGEN!$B$9:$B$128,C522,SONDERZAHLUNGEN!$C$9:$C$128,A522,SONDERZAHLUNGEN!$H$9:$H$128,"OK",SONDERZAHLUNGEN!$F$9:$F$128,"Ja")))</x:f>
      </x:c>
      <x:c r="H522" s="88" t="str">
        <x:f>IF(C522="","",MIN(MAX(0,D522+E522-F522-G522),MAX(0,IF(MONATSBUDGET!$C$33="",0,MONATSBUDGET!$C$33)-SUM(F520:F539)-SUM(H520:H521))))</x:f>
      </x:c>
      <x:c r="I522" s="88" t="str">
        <x:f>IF(C522="","",MAX(0,ROUND(D522+E522-F522-G522-H522,2)))</x:f>
      </x:c>
      <x:c r="J522" s="88" t="str">
        <x:f>IF(C522="","",F522+G522+H522)</x:f>
      </x:c>
      <x:c r="K522" s="88" t="str">
        <x:f>IF(C522="","",MAX(0,SUMIFS(SONDERZAHLUNGEN!$E$9:$E$128,SONDERZAHLUNGEN!$B$9:$B$128,C522,SONDERZAHLUNGEN!$C$9:$C$128,A522,SONDERZAHLUNGEN!$H$9:$H$128,"OK",SONDERZAHLUNGEN!$F$9:$F$128,"Ja")-G522))</x:f>
      </x:c>
    </x:row>
    <x:row r="523" ht="19" customHeight="1">
      <x:c r="A523" s="90" t="n">
        <x:f>MONATSBUDGET!$A$33</x:f>
        <x:v>46997</x:v>
      </x:c>
      <x:c r="B523" t="n">
        <x:f>4</x:f>
        <x:v>4</x:v>
      </x:c>
      <x:c r="C523" t="str">
        <x:f>IF($N$12="","",$N$12)</x:f>
      </x:c>
      <x:c r="D523" s="88" t="str">
        <x:f>IF(C523="","",I503)</x:f>
      </x:c>
      <x:c r="E523" s="88" t="str">
        <x:f>IF(C523="","",ROUND(D523*$P$12/12,2))</x:f>
      </x:c>
      <x:c r="F523" s="88" t="str">
        <x:f>IF(C523="","",MIN(D523+E523,$Q$12))</x:f>
      </x:c>
      <x:c r="G523" s="88" t="str">
        <x:f>IF(C523="","",MIN(MAX(0,D523+E523-F523),SUMIFS(SONDERZAHLUNGEN!$E$9:$E$128,SONDERZAHLUNGEN!$B$9:$B$128,C523,SONDERZAHLUNGEN!$C$9:$C$128,A523,SONDERZAHLUNGEN!$H$9:$H$128,"OK",SONDERZAHLUNGEN!$F$9:$F$128,"Ja")))</x:f>
      </x:c>
      <x:c r="H523" s="88" t="str">
        <x:f>IF(C523="","",MIN(MAX(0,D523+E523-F523-G523),MAX(0,IF(MONATSBUDGET!$C$33="",0,MONATSBUDGET!$C$33)-SUM(F520:F539)-SUM(H520:H522))))</x:f>
      </x:c>
      <x:c r="I523" s="88" t="str">
        <x:f>IF(C523="","",MAX(0,ROUND(D523+E523-F523-G523-H523,2)))</x:f>
      </x:c>
      <x:c r="J523" s="88" t="str">
        <x:f>IF(C523="","",F523+G523+H523)</x:f>
      </x:c>
      <x:c r="K523" s="88" t="str">
        <x:f>IF(C523="","",MAX(0,SUMIFS(SONDERZAHLUNGEN!$E$9:$E$128,SONDERZAHLUNGEN!$B$9:$B$128,C523,SONDERZAHLUNGEN!$C$9:$C$128,A523,SONDERZAHLUNGEN!$H$9:$H$128,"OK",SONDERZAHLUNGEN!$F$9:$F$128,"Ja")-G523))</x:f>
      </x:c>
    </x:row>
    <x:row r="524" ht="19" customHeight="1">
      <x:c r="A524" s="90" t="n">
        <x:f>MONATSBUDGET!$A$33</x:f>
        <x:v>46997</x:v>
      </x:c>
      <x:c r="B524" t="n">
        <x:f>5</x:f>
        <x:v>5</x:v>
      </x:c>
      <x:c r="C524" t="str">
        <x:f>IF($N$13="","",$N$13)</x:f>
      </x:c>
      <x:c r="D524" s="88" t="str">
        <x:f>IF(C524="","",I504)</x:f>
      </x:c>
      <x:c r="E524" s="88" t="str">
        <x:f>IF(C524="","",ROUND(D524*$P$13/12,2))</x:f>
      </x:c>
      <x:c r="F524" s="88" t="str">
        <x:f>IF(C524="","",MIN(D524+E524,$Q$13))</x:f>
      </x:c>
      <x:c r="G524" s="88" t="str">
        <x:f>IF(C524="","",MIN(MAX(0,D524+E524-F524),SUMIFS(SONDERZAHLUNGEN!$E$9:$E$128,SONDERZAHLUNGEN!$B$9:$B$128,C524,SONDERZAHLUNGEN!$C$9:$C$128,A524,SONDERZAHLUNGEN!$H$9:$H$128,"OK",SONDERZAHLUNGEN!$F$9:$F$128,"Ja")))</x:f>
      </x:c>
      <x:c r="H524" s="88" t="str">
        <x:f>IF(C524="","",MIN(MAX(0,D524+E524-F524-G524),MAX(0,IF(MONATSBUDGET!$C$33="",0,MONATSBUDGET!$C$33)-SUM(F520:F539)-SUM(H520:H523))))</x:f>
      </x:c>
      <x:c r="I524" s="88" t="str">
        <x:f>IF(C524="","",MAX(0,ROUND(D524+E524-F524-G524-H524,2)))</x:f>
      </x:c>
      <x:c r="J524" s="88" t="str">
        <x:f>IF(C524="","",F524+G524+H524)</x:f>
      </x:c>
      <x:c r="K524" s="88" t="str">
        <x:f>IF(C524="","",MAX(0,SUMIFS(SONDERZAHLUNGEN!$E$9:$E$128,SONDERZAHLUNGEN!$B$9:$B$128,C524,SONDERZAHLUNGEN!$C$9:$C$128,A524,SONDERZAHLUNGEN!$H$9:$H$128,"OK",SONDERZAHLUNGEN!$F$9:$F$128,"Ja")-G524))</x:f>
      </x:c>
    </x:row>
    <x:row r="525" ht="19" customHeight="1">
      <x:c r="A525" s="90" t="n">
        <x:f>MONATSBUDGET!$A$33</x:f>
        <x:v>46997</x:v>
      </x:c>
      <x:c r="B525" t="n">
        <x:f>6</x:f>
        <x:v>6</x:v>
      </x:c>
      <x:c r="C525" t="str">
        <x:f>IF($N$14="","",$N$14)</x:f>
      </x:c>
      <x:c r="D525" s="88" t="str">
        <x:f>IF(C525="","",I505)</x:f>
      </x:c>
      <x:c r="E525" s="88" t="str">
        <x:f>IF(C525="","",ROUND(D525*$P$14/12,2))</x:f>
      </x:c>
      <x:c r="F525" s="88" t="str">
        <x:f>IF(C525="","",MIN(D525+E525,$Q$14))</x:f>
      </x:c>
      <x:c r="G525" s="88" t="str">
        <x:f>IF(C525="","",MIN(MAX(0,D525+E525-F525),SUMIFS(SONDERZAHLUNGEN!$E$9:$E$128,SONDERZAHLUNGEN!$B$9:$B$128,C525,SONDERZAHLUNGEN!$C$9:$C$128,A525,SONDERZAHLUNGEN!$H$9:$H$128,"OK",SONDERZAHLUNGEN!$F$9:$F$128,"Ja")))</x:f>
      </x:c>
      <x:c r="H525" s="88" t="str">
        <x:f>IF(C525="","",MIN(MAX(0,D525+E525-F525-G525),MAX(0,IF(MONATSBUDGET!$C$33="",0,MONATSBUDGET!$C$33)-SUM(F520:F539)-SUM(H520:H524))))</x:f>
      </x:c>
      <x:c r="I525" s="88" t="str">
        <x:f>IF(C525="","",MAX(0,ROUND(D525+E525-F525-G525-H525,2)))</x:f>
      </x:c>
      <x:c r="J525" s="88" t="str">
        <x:f>IF(C525="","",F525+G525+H525)</x:f>
      </x:c>
      <x:c r="K525" s="88" t="str">
        <x:f>IF(C525="","",MAX(0,SUMIFS(SONDERZAHLUNGEN!$E$9:$E$128,SONDERZAHLUNGEN!$B$9:$B$128,C525,SONDERZAHLUNGEN!$C$9:$C$128,A525,SONDERZAHLUNGEN!$H$9:$H$128,"OK",SONDERZAHLUNGEN!$F$9:$F$128,"Ja")-G525))</x:f>
      </x:c>
    </x:row>
    <x:row r="526" ht="19" customHeight="1">
      <x:c r="A526" s="90" t="n">
        <x:f>MONATSBUDGET!$A$33</x:f>
        <x:v>46997</x:v>
      </x:c>
      <x:c r="B526" t="n">
        <x:f>7</x:f>
        <x:v>7</x:v>
      </x:c>
      <x:c r="C526" t="str">
        <x:f>IF($N$15="","",$N$15)</x:f>
      </x:c>
      <x:c r="D526" s="88" t="str">
        <x:f>IF(C526="","",I506)</x:f>
      </x:c>
      <x:c r="E526" s="88" t="str">
        <x:f>IF(C526="","",ROUND(D526*$P$15/12,2))</x:f>
      </x:c>
      <x:c r="F526" s="88" t="str">
        <x:f>IF(C526="","",MIN(D526+E526,$Q$15))</x:f>
      </x:c>
      <x:c r="G526" s="88" t="str">
        <x:f>IF(C526="","",MIN(MAX(0,D526+E526-F526),SUMIFS(SONDERZAHLUNGEN!$E$9:$E$128,SONDERZAHLUNGEN!$B$9:$B$128,C526,SONDERZAHLUNGEN!$C$9:$C$128,A526,SONDERZAHLUNGEN!$H$9:$H$128,"OK",SONDERZAHLUNGEN!$F$9:$F$128,"Ja")))</x:f>
      </x:c>
      <x:c r="H526" s="88" t="str">
        <x:f>IF(C526="","",MIN(MAX(0,D526+E526-F526-G526),MAX(0,IF(MONATSBUDGET!$C$33="",0,MONATSBUDGET!$C$33)-SUM(F520:F539)-SUM(H520:H525))))</x:f>
      </x:c>
      <x:c r="I526" s="88" t="str">
        <x:f>IF(C526="","",MAX(0,ROUND(D526+E526-F526-G526-H526,2)))</x:f>
      </x:c>
      <x:c r="J526" s="88" t="str">
        <x:f>IF(C526="","",F526+G526+H526)</x:f>
      </x:c>
      <x:c r="K526" s="88" t="str">
        <x:f>IF(C526="","",MAX(0,SUMIFS(SONDERZAHLUNGEN!$E$9:$E$128,SONDERZAHLUNGEN!$B$9:$B$128,C526,SONDERZAHLUNGEN!$C$9:$C$128,A526,SONDERZAHLUNGEN!$H$9:$H$128,"OK",SONDERZAHLUNGEN!$F$9:$F$128,"Ja")-G526))</x:f>
      </x:c>
    </x:row>
    <x:row r="527" ht="19" customHeight="1">
      <x:c r="A527" s="90" t="n">
        <x:f>MONATSBUDGET!$A$33</x:f>
        <x:v>46997</x:v>
      </x:c>
      <x:c r="B527" t="n">
        <x:f>8</x:f>
        <x:v>8</x:v>
      </x:c>
      <x:c r="C527" t="str">
        <x:f>IF($N$16="","",$N$16)</x:f>
      </x:c>
      <x:c r="D527" s="88" t="str">
        <x:f>IF(C527="","",I507)</x:f>
      </x:c>
      <x:c r="E527" s="88" t="str">
        <x:f>IF(C527="","",ROUND(D527*$P$16/12,2))</x:f>
      </x:c>
      <x:c r="F527" s="88" t="str">
        <x:f>IF(C527="","",MIN(D527+E527,$Q$16))</x:f>
      </x:c>
      <x:c r="G527" s="88" t="str">
        <x:f>IF(C527="","",MIN(MAX(0,D527+E527-F527),SUMIFS(SONDERZAHLUNGEN!$E$9:$E$128,SONDERZAHLUNGEN!$B$9:$B$128,C527,SONDERZAHLUNGEN!$C$9:$C$128,A527,SONDERZAHLUNGEN!$H$9:$H$128,"OK",SONDERZAHLUNGEN!$F$9:$F$128,"Ja")))</x:f>
      </x:c>
      <x:c r="H527" s="88" t="str">
        <x:f>IF(C527="","",MIN(MAX(0,D527+E527-F527-G527),MAX(0,IF(MONATSBUDGET!$C$33="",0,MONATSBUDGET!$C$33)-SUM(F520:F539)-SUM(H520:H526))))</x:f>
      </x:c>
      <x:c r="I527" s="88" t="str">
        <x:f>IF(C527="","",MAX(0,ROUND(D527+E527-F527-G527-H527,2)))</x:f>
      </x:c>
      <x:c r="J527" s="88" t="str">
        <x:f>IF(C527="","",F527+G527+H527)</x:f>
      </x:c>
      <x:c r="K527" s="88" t="str">
        <x:f>IF(C527="","",MAX(0,SUMIFS(SONDERZAHLUNGEN!$E$9:$E$128,SONDERZAHLUNGEN!$B$9:$B$128,C527,SONDERZAHLUNGEN!$C$9:$C$128,A527,SONDERZAHLUNGEN!$H$9:$H$128,"OK",SONDERZAHLUNGEN!$F$9:$F$128,"Ja")-G527))</x:f>
      </x:c>
    </x:row>
    <x:row r="528" ht="19" customHeight="1">
      <x:c r="A528" s="90" t="n">
        <x:f>MONATSBUDGET!$A$33</x:f>
        <x:v>46997</x:v>
      </x:c>
      <x:c r="B528" t="n">
        <x:f>9</x:f>
        <x:v>9</x:v>
      </x:c>
      <x:c r="C528" t="str">
        <x:f>IF($N$17="","",$N$17)</x:f>
      </x:c>
      <x:c r="D528" s="88" t="str">
        <x:f>IF(C528="","",I508)</x:f>
      </x:c>
      <x:c r="E528" s="88" t="str">
        <x:f>IF(C528="","",ROUND(D528*$P$17/12,2))</x:f>
      </x:c>
      <x:c r="F528" s="88" t="str">
        <x:f>IF(C528="","",MIN(D528+E528,$Q$17))</x:f>
      </x:c>
      <x:c r="G528" s="88" t="str">
        <x:f>IF(C528="","",MIN(MAX(0,D528+E528-F528),SUMIFS(SONDERZAHLUNGEN!$E$9:$E$128,SONDERZAHLUNGEN!$B$9:$B$128,C528,SONDERZAHLUNGEN!$C$9:$C$128,A528,SONDERZAHLUNGEN!$H$9:$H$128,"OK",SONDERZAHLUNGEN!$F$9:$F$128,"Ja")))</x:f>
      </x:c>
      <x:c r="H528" s="88" t="str">
        <x:f>IF(C528="","",MIN(MAX(0,D528+E528-F528-G528),MAX(0,IF(MONATSBUDGET!$C$33="",0,MONATSBUDGET!$C$33)-SUM(F520:F539)-SUM(H520:H527))))</x:f>
      </x:c>
      <x:c r="I528" s="88" t="str">
        <x:f>IF(C528="","",MAX(0,ROUND(D528+E528-F528-G528-H528,2)))</x:f>
      </x:c>
      <x:c r="J528" s="88" t="str">
        <x:f>IF(C528="","",F528+G528+H528)</x:f>
      </x:c>
      <x:c r="K528" s="88" t="str">
        <x:f>IF(C528="","",MAX(0,SUMIFS(SONDERZAHLUNGEN!$E$9:$E$128,SONDERZAHLUNGEN!$B$9:$B$128,C528,SONDERZAHLUNGEN!$C$9:$C$128,A528,SONDERZAHLUNGEN!$H$9:$H$128,"OK",SONDERZAHLUNGEN!$F$9:$F$128,"Ja")-G528))</x:f>
      </x:c>
    </x:row>
    <x:row r="529" ht="19" customHeight="1">
      <x:c r="A529" s="90" t="n">
        <x:f>MONATSBUDGET!$A$33</x:f>
        <x:v>46997</x:v>
      </x:c>
      <x:c r="B529" t="n">
        <x:f>10</x:f>
        <x:v>10</x:v>
      </x:c>
      <x:c r="C529" t="str">
        <x:f>IF($N$18="","",$N$18)</x:f>
      </x:c>
      <x:c r="D529" s="88" t="str">
        <x:f>IF(C529="","",I509)</x:f>
      </x:c>
      <x:c r="E529" s="88" t="str">
        <x:f>IF(C529="","",ROUND(D529*$P$18/12,2))</x:f>
      </x:c>
      <x:c r="F529" s="88" t="str">
        <x:f>IF(C529="","",MIN(D529+E529,$Q$18))</x:f>
      </x:c>
      <x:c r="G529" s="88" t="str">
        <x:f>IF(C529="","",MIN(MAX(0,D529+E529-F529),SUMIFS(SONDERZAHLUNGEN!$E$9:$E$128,SONDERZAHLUNGEN!$B$9:$B$128,C529,SONDERZAHLUNGEN!$C$9:$C$128,A529,SONDERZAHLUNGEN!$H$9:$H$128,"OK",SONDERZAHLUNGEN!$F$9:$F$128,"Ja")))</x:f>
      </x:c>
      <x:c r="H529" s="88" t="str">
        <x:f>IF(C529="","",MIN(MAX(0,D529+E529-F529-G529),MAX(0,IF(MONATSBUDGET!$C$33="",0,MONATSBUDGET!$C$33)-SUM(F520:F539)-SUM(H520:H528))))</x:f>
      </x:c>
      <x:c r="I529" s="88" t="str">
        <x:f>IF(C529="","",MAX(0,ROUND(D529+E529-F529-G529-H529,2)))</x:f>
      </x:c>
      <x:c r="J529" s="88" t="str">
        <x:f>IF(C529="","",F529+G529+H529)</x:f>
      </x:c>
      <x:c r="K529" s="88" t="str">
        <x:f>IF(C529="","",MAX(0,SUMIFS(SONDERZAHLUNGEN!$E$9:$E$128,SONDERZAHLUNGEN!$B$9:$B$128,C529,SONDERZAHLUNGEN!$C$9:$C$128,A529,SONDERZAHLUNGEN!$H$9:$H$128,"OK",SONDERZAHLUNGEN!$F$9:$F$128,"Ja")-G529))</x:f>
      </x:c>
    </x:row>
    <x:row r="530" ht="19" customHeight="1">
      <x:c r="A530" s="90" t="n">
        <x:f>MONATSBUDGET!$A$33</x:f>
        <x:v>46997</x:v>
      </x:c>
      <x:c r="B530" t="n">
        <x:f>11</x:f>
        <x:v>11</x:v>
      </x:c>
      <x:c r="C530" t="str">
        <x:f>IF($N$19="","",$N$19)</x:f>
      </x:c>
      <x:c r="D530" s="88" t="str">
        <x:f>IF(C530="","",I510)</x:f>
      </x:c>
      <x:c r="E530" s="88" t="str">
        <x:f>IF(C530="","",ROUND(D530*$P$19/12,2))</x:f>
      </x:c>
      <x:c r="F530" s="88" t="str">
        <x:f>IF(C530="","",MIN(D530+E530,$Q$19))</x:f>
      </x:c>
      <x:c r="G530" s="88" t="str">
        <x:f>IF(C530="","",MIN(MAX(0,D530+E530-F530),SUMIFS(SONDERZAHLUNGEN!$E$9:$E$128,SONDERZAHLUNGEN!$B$9:$B$128,C530,SONDERZAHLUNGEN!$C$9:$C$128,A530,SONDERZAHLUNGEN!$H$9:$H$128,"OK",SONDERZAHLUNGEN!$F$9:$F$128,"Ja")))</x:f>
      </x:c>
      <x:c r="H530" s="88" t="str">
        <x:f>IF(C530="","",MIN(MAX(0,D530+E530-F530-G530),MAX(0,IF(MONATSBUDGET!$C$33="",0,MONATSBUDGET!$C$33)-SUM(F520:F539)-SUM(H520:H529))))</x:f>
      </x:c>
      <x:c r="I530" s="88" t="str">
        <x:f>IF(C530="","",MAX(0,ROUND(D530+E530-F530-G530-H530,2)))</x:f>
      </x:c>
      <x:c r="J530" s="88" t="str">
        <x:f>IF(C530="","",F530+G530+H530)</x:f>
      </x:c>
      <x:c r="K530" s="88" t="str">
        <x:f>IF(C530="","",MAX(0,SUMIFS(SONDERZAHLUNGEN!$E$9:$E$128,SONDERZAHLUNGEN!$B$9:$B$128,C530,SONDERZAHLUNGEN!$C$9:$C$128,A530,SONDERZAHLUNGEN!$H$9:$H$128,"OK",SONDERZAHLUNGEN!$F$9:$F$128,"Ja")-G530))</x:f>
      </x:c>
    </x:row>
    <x:row r="531" ht="19" customHeight="1">
      <x:c r="A531" s="90" t="n">
        <x:f>MONATSBUDGET!$A$33</x:f>
        <x:v>46997</x:v>
      </x:c>
      <x:c r="B531" t="n">
        <x:f>12</x:f>
        <x:v>12</x:v>
      </x:c>
      <x:c r="C531" t="str">
        <x:f>IF($N$20="","",$N$20)</x:f>
      </x:c>
      <x:c r="D531" s="88" t="str">
        <x:f>IF(C531="","",I511)</x:f>
      </x:c>
      <x:c r="E531" s="88" t="str">
        <x:f>IF(C531="","",ROUND(D531*$P$20/12,2))</x:f>
      </x:c>
      <x:c r="F531" s="88" t="str">
        <x:f>IF(C531="","",MIN(D531+E531,$Q$20))</x:f>
      </x:c>
      <x:c r="G531" s="88" t="str">
        <x:f>IF(C531="","",MIN(MAX(0,D531+E531-F531),SUMIFS(SONDERZAHLUNGEN!$E$9:$E$128,SONDERZAHLUNGEN!$B$9:$B$128,C531,SONDERZAHLUNGEN!$C$9:$C$128,A531,SONDERZAHLUNGEN!$H$9:$H$128,"OK",SONDERZAHLUNGEN!$F$9:$F$128,"Ja")))</x:f>
      </x:c>
      <x:c r="H531" s="88" t="str">
        <x:f>IF(C531="","",MIN(MAX(0,D531+E531-F531-G531),MAX(0,IF(MONATSBUDGET!$C$33="",0,MONATSBUDGET!$C$33)-SUM(F520:F539)-SUM(H520:H530))))</x:f>
      </x:c>
      <x:c r="I531" s="88" t="str">
        <x:f>IF(C531="","",MAX(0,ROUND(D531+E531-F531-G531-H531,2)))</x:f>
      </x:c>
      <x:c r="J531" s="88" t="str">
        <x:f>IF(C531="","",F531+G531+H531)</x:f>
      </x:c>
      <x:c r="K531" s="88" t="str">
        <x:f>IF(C531="","",MAX(0,SUMIFS(SONDERZAHLUNGEN!$E$9:$E$128,SONDERZAHLUNGEN!$B$9:$B$128,C531,SONDERZAHLUNGEN!$C$9:$C$128,A531,SONDERZAHLUNGEN!$H$9:$H$128,"OK",SONDERZAHLUNGEN!$F$9:$F$128,"Ja")-G531))</x:f>
      </x:c>
    </x:row>
    <x:row r="532" ht="19" customHeight="1">
      <x:c r="A532" s="90" t="n">
        <x:f>MONATSBUDGET!$A$33</x:f>
        <x:v>46997</x:v>
      </x:c>
      <x:c r="B532" t="n">
        <x:f>13</x:f>
        <x:v>13</x:v>
      </x:c>
      <x:c r="C532" t="str">
        <x:f>IF($N$21="","",$N$21)</x:f>
      </x:c>
      <x:c r="D532" s="88" t="str">
        <x:f>IF(C532="","",I512)</x:f>
      </x:c>
      <x:c r="E532" s="88" t="str">
        <x:f>IF(C532="","",ROUND(D532*$P$21/12,2))</x:f>
      </x:c>
      <x:c r="F532" s="88" t="str">
        <x:f>IF(C532="","",MIN(D532+E532,$Q$21))</x:f>
      </x:c>
      <x:c r="G532" s="88" t="str">
        <x:f>IF(C532="","",MIN(MAX(0,D532+E532-F532),SUMIFS(SONDERZAHLUNGEN!$E$9:$E$128,SONDERZAHLUNGEN!$B$9:$B$128,C532,SONDERZAHLUNGEN!$C$9:$C$128,A532,SONDERZAHLUNGEN!$H$9:$H$128,"OK",SONDERZAHLUNGEN!$F$9:$F$128,"Ja")))</x:f>
      </x:c>
      <x:c r="H532" s="88" t="str">
        <x:f>IF(C532="","",MIN(MAX(0,D532+E532-F532-G532),MAX(0,IF(MONATSBUDGET!$C$33="",0,MONATSBUDGET!$C$33)-SUM(F520:F539)-SUM(H520:H531))))</x:f>
      </x:c>
      <x:c r="I532" s="88" t="str">
        <x:f>IF(C532="","",MAX(0,ROUND(D532+E532-F532-G532-H532,2)))</x:f>
      </x:c>
      <x:c r="J532" s="88" t="str">
        <x:f>IF(C532="","",F532+G532+H532)</x:f>
      </x:c>
      <x:c r="K532" s="88" t="str">
        <x:f>IF(C532="","",MAX(0,SUMIFS(SONDERZAHLUNGEN!$E$9:$E$128,SONDERZAHLUNGEN!$B$9:$B$128,C532,SONDERZAHLUNGEN!$C$9:$C$128,A532,SONDERZAHLUNGEN!$H$9:$H$128,"OK",SONDERZAHLUNGEN!$F$9:$F$128,"Ja")-G532))</x:f>
      </x:c>
    </x:row>
    <x:row r="533" ht="19" customHeight="1">
      <x:c r="A533" s="90" t="n">
        <x:f>MONATSBUDGET!$A$33</x:f>
        <x:v>46997</x:v>
      </x:c>
      <x:c r="B533" t="n">
        <x:f>14</x:f>
        <x:v>14</x:v>
      </x:c>
      <x:c r="C533" t="str">
        <x:f>IF($N$22="","",$N$22)</x:f>
      </x:c>
      <x:c r="D533" s="88" t="str">
        <x:f>IF(C533="","",I513)</x:f>
      </x:c>
      <x:c r="E533" s="88" t="str">
        <x:f>IF(C533="","",ROUND(D533*$P$22/12,2))</x:f>
      </x:c>
      <x:c r="F533" s="88" t="str">
        <x:f>IF(C533="","",MIN(D533+E533,$Q$22))</x:f>
      </x:c>
      <x:c r="G533" s="88" t="str">
        <x:f>IF(C533="","",MIN(MAX(0,D533+E533-F533),SUMIFS(SONDERZAHLUNGEN!$E$9:$E$128,SONDERZAHLUNGEN!$B$9:$B$128,C533,SONDERZAHLUNGEN!$C$9:$C$128,A533,SONDERZAHLUNGEN!$H$9:$H$128,"OK",SONDERZAHLUNGEN!$F$9:$F$128,"Ja")))</x:f>
      </x:c>
      <x:c r="H533" s="88" t="str">
        <x:f>IF(C533="","",MIN(MAX(0,D533+E533-F533-G533),MAX(0,IF(MONATSBUDGET!$C$33="",0,MONATSBUDGET!$C$33)-SUM(F520:F539)-SUM(H520:H532))))</x:f>
      </x:c>
      <x:c r="I533" s="88" t="str">
        <x:f>IF(C533="","",MAX(0,ROUND(D533+E533-F533-G533-H533,2)))</x:f>
      </x:c>
      <x:c r="J533" s="88" t="str">
        <x:f>IF(C533="","",F533+G533+H533)</x:f>
      </x:c>
      <x:c r="K533" s="88" t="str">
        <x:f>IF(C533="","",MAX(0,SUMIFS(SONDERZAHLUNGEN!$E$9:$E$128,SONDERZAHLUNGEN!$B$9:$B$128,C533,SONDERZAHLUNGEN!$C$9:$C$128,A533,SONDERZAHLUNGEN!$H$9:$H$128,"OK",SONDERZAHLUNGEN!$F$9:$F$128,"Ja")-G533))</x:f>
      </x:c>
    </x:row>
    <x:row r="534" ht="19" customHeight="1">
      <x:c r="A534" s="90" t="n">
        <x:f>MONATSBUDGET!$A$33</x:f>
        <x:v>46997</x:v>
      </x:c>
      <x:c r="B534" t="n">
        <x:f>15</x:f>
        <x:v>15</x:v>
      </x:c>
      <x:c r="C534" t="str">
        <x:f>IF($N$23="","",$N$23)</x:f>
      </x:c>
      <x:c r="D534" s="88" t="str">
        <x:f>IF(C534="","",I514)</x:f>
      </x:c>
      <x:c r="E534" s="88" t="str">
        <x:f>IF(C534="","",ROUND(D534*$P$23/12,2))</x:f>
      </x:c>
      <x:c r="F534" s="88" t="str">
        <x:f>IF(C534="","",MIN(D534+E534,$Q$23))</x:f>
      </x:c>
      <x:c r="G534" s="88" t="str">
        <x:f>IF(C534="","",MIN(MAX(0,D534+E534-F534),SUMIFS(SONDERZAHLUNGEN!$E$9:$E$128,SONDERZAHLUNGEN!$B$9:$B$128,C534,SONDERZAHLUNGEN!$C$9:$C$128,A534,SONDERZAHLUNGEN!$H$9:$H$128,"OK",SONDERZAHLUNGEN!$F$9:$F$128,"Ja")))</x:f>
      </x:c>
      <x:c r="H534" s="88" t="str">
        <x:f>IF(C534="","",MIN(MAX(0,D534+E534-F534-G534),MAX(0,IF(MONATSBUDGET!$C$33="",0,MONATSBUDGET!$C$33)-SUM(F520:F539)-SUM(H520:H533))))</x:f>
      </x:c>
      <x:c r="I534" s="88" t="str">
        <x:f>IF(C534="","",MAX(0,ROUND(D534+E534-F534-G534-H534,2)))</x:f>
      </x:c>
      <x:c r="J534" s="88" t="str">
        <x:f>IF(C534="","",F534+G534+H534)</x:f>
      </x:c>
      <x:c r="K534" s="88" t="str">
        <x:f>IF(C534="","",MAX(0,SUMIFS(SONDERZAHLUNGEN!$E$9:$E$128,SONDERZAHLUNGEN!$B$9:$B$128,C534,SONDERZAHLUNGEN!$C$9:$C$128,A534,SONDERZAHLUNGEN!$H$9:$H$128,"OK",SONDERZAHLUNGEN!$F$9:$F$128,"Ja")-G534))</x:f>
      </x:c>
    </x:row>
    <x:row r="535" ht="19" customHeight="1">
      <x:c r="A535" s="90" t="n">
        <x:f>MONATSBUDGET!$A$33</x:f>
        <x:v>46997</x:v>
      </x:c>
      <x:c r="B535" t="n">
        <x:f>16</x:f>
        <x:v>16</x:v>
      </x:c>
      <x:c r="C535" t="str">
        <x:f>IF($N$24="","",$N$24)</x:f>
      </x:c>
      <x:c r="D535" s="88" t="str">
        <x:f>IF(C535="","",I515)</x:f>
      </x:c>
      <x:c r="E535" s="88" t="str">
        <x:f>IF(C535="","",ROUND(D535*$P$24/12,2))</x:f>
      </x:c>
      <x:c r="F535" s="88" t="str">
        <x:f>IF(C535="","",MIN(D535+E535,$Q$24))</x:f>
      </x:c>
      <x:c r="G535" s="88" t="str">
        <x:f>IF(C535="","",MIN(MAX(0,D535+E535-F535),SUMIFS(SONDERZAHLUNGEN!$E$9:$E$128,SONDERZAHLUNGEN!$B$9:$B$128,C535,SONDERZAHLUNGEN!$C$9:$C$128,A535,SONDERZAHLUNGEN!$H$9:$H$128,"OK",SONDERZAHLUNGEN!$F$9:$F$128,"Ja")))</x:f>
      </x:c>
      <x:c r="H535" s="88" t="str">
        <x:f>IF(C535="","",MIN(MAX(0,D535+E535-F535-G535),MAX(0,IF(MONATSBUDGET!$C$33="",0,MONATSBUDGET!$C$33)-SUM(F520:F539)-SUM(H520:H534))))</x:f>
      </x:c>
      <x:c r="I535" s="88" t="str">
        <x:f>IF(C535="","",MAX(0,ROUND(D535+E535-F535-G535-H535,2)))</x:f>
      </x:c>
      <x:c r="J535" s="88" t="str">
        <x:f>IF(C535="","",F535+G535+H535)</x:f>
      </x:c>
      <x:c r="K535" s="88" t="str">
        <x:f>IF(C535="","",MAX(0,SUMIFS(SONDERZAHLUNGEN!$E$9:$E$128,SONDERZAHLUNGEN!$B$9:$B$128,C535,SONDERZAHLUNGEN!$C$9:$C$128,A535,SONDERZAHLUNGEN!$H$9:$H$128,"OK",SONDERZAHLUNGEN!$F$9:$F$128,"Ja")-G535))</x:f>
      </x:c>
    </x:row>
    <x:row r="536" ht="19" customHeight="1">
      <x:c r="A536" s="90" t="n">
        <x:f>MONATSBUDGET!$A$33</x:f>
        <x:v>46997</x:v>
      </x:c>
      <x:c r="B536" t="n">
        <x:f>17</x:f>
        <x:v>17</x:v>
      </x:c>
      <x:c r="C536" t="str">
        <x:f>IF($N$25="","",$N$25)</x:f>
      </x:c>
      <x:c r="D536" s="88" t="str">
        <x:f>IF(C536="","",I516)</x:f>
      </x:c>
      <x:c r="E536" s="88" t="str">
        <x:f>IF(C536="","",ROUND(D536*$P$25/12,2))</x:f>
      </x:c>
      <x:c r="F536" s="88" t="str">
        <x:f>IF(C536="","",MIN(D536+E536,$Q$25))</x:f>
      </x:c>
      <x:c r="G536" s="88" t="str">
        <x:f>IF(C536="","",MIN(MAX(0,D536+E536-F536),SUMIFS(SONDERZAHLUNGEN!$E$9:$E$128,SONDERZAHLUNGEN!$B$9:$B$128,C536,SONDERZAHLUNGEN!$C$9:$C$128,A536,SONDERZAHLUNGEN!$H$9:$H$128,"OK",SONDERZAHLUNGEN!$F$9:$F$128,"Ja")))</x:f>
      </x:c>
      <x:c r="H536" s="88" t="str">
        <x:f>IF(C536="","",MIN(MAX(0,D536+E536-F536-G536),MAX(0,IF(MONATSBUDGET!$C$33="",0,MONATSBUDGET!$C$33)-SUM(F520:F539)-SUM(H520:H535))))</x:f>
      </x:c>
      <x:c r="I536" s="88" t="str">
        <x:f>IF(C536="","",MAX(0,ROUND(D536+E536-F536-G536-H536,2)))</x:f>
      </x:c>
      <x:c r="J536" s="88" t="str">
        <x:f>IF(C536="","",F536+G536+H536)</x:f>
      </x:c>
      <x:c r="K536" s="88" t="str">
        <x:f>IF(C536="","",MAX(0,SUMIFS(SONDERZAHLUNGEN!$E$9:$E$128,SONDERZAHLUNGEN!$B$9:$B$128,C536,SONDERZAHLUNGEN!$C$9:$C$128,A536,SONDERZAHLUNGEN!$H$9:$H$128,"OK",SONDERZAHLUNGEN!$F$9:$F$128,"Ja")-G536))</x:f>
      </x:c>
    </x:row>
    <x:row r="537" ht="19" customHeight="1">
      <x:c r="A537" s="90" t="n">
        <x:f>MONATSBUDGET!$A$33</x:f>
        <x:v>46997</x:v>
      </x:c>
      <x:c r="B537" t="n">
        <x:f>18</x:f>
        <x:v>18</x:v>
      </x:c>
      <x:c r="C537" t="str">
        <x:f>IF($N$26="","",$N$26)</x:f>
      </x:c>
      <x:c r="D537" s="88" t="str">
        <x:f>IF(C537="","",I517)</x:f>
      </x:c>
      <x:c r="E537" s="88" t="str">
        <x:f>IF(C537="","",ROUND(D537*$P$26/12,2))</x:f>
      </x:c>
      <x:c r="F537" s="88" t="str">
        <x:f>IF(C537="","",MIN(D537+E537,$Q$26))</x:f>
      </x:c>
      <x:c r="G537" s="88" t="str">
        <x:f>IF(C537="","",MIN(MAX(0,D537+E537-F537),SUMIFS(SONDERZAHLUNGEN!$E$9:$E$128,SONDERZAHLUNGEN!$B$9:$B$128,C537,SONDERZAHLUNGEN!$C$9:$C$128,A537,SONDERZAHLUNGEN!$H$9:$H$128,"OK",SONDERZAHLUNGEN!$F$9:$F$128,"Ja")))</x:f>
      </x:c>
      <x:c r="H537" s="88" t="str">
        <x:f>IF(C537="","",MIN(MAX(0,D537+E537-F537-G537),MAX(0,IF(MONATSBUDGET!$C$33="",0,MONATSBUDGET!$C$33)-SUM(F520:F539)-SUM(H520:H536))))</x:f>
      </x:c>
      <x:c r="I537" s="88" t="str">
        <x:f>IF(C537="","",MAX(0,ROUND(D537+E537-F537-G537-H537,2)))</x:f>
      </x:c>
      <x:c r="J537" s="88" t="str">
        <x:f>IF(C537="","",F537+G537+H537)</x:f>
      </x:c>
      <x:c r="K537" s="88" t="str">
        <x:f>IF(C537="","",MAX(0,SUMIFS(SONDERZAHLUNGEN!$E$9:$E$128,SONDERZAHLUNGEN!$B$9:$B$128,C537,SONDERZAHLUNGEN!$C$9:$C$128,A537,SONDERZAHLUNGEN!$H$9:$H$128,"OK",SONDERZAHLUNGEN!$F$9:$F$128,"Ja")-G537))</x:f>
      </x:c>
    </x:row>
    <x:row r="538" ht="19" customHeight="1">
      <x:c r="A538" s="90" t="n">
        <x:f>MONATSBUDGET!$A$33</x:f>
        <x:v>46997</x:v>
      </x:c>
      <x:c r="B538" t="n">
        <x:f>19</x:f>
        <x:v>19</x:v>
      </x:c>
      <x:c r="C538" t="str">
        <x:f>IF($N$27="","",$N$27)</x:f>
      </x:c>
      <x:c r="D538" s="88" t="str">
        <x:f>IF(C538="","",I518)</x:f>
      </x:c>
      <x:c r="E538" s="88" t="str">
        <x:f>IF(C538="","",ROUND(D538*$P$27/12,2))</x:f>
      </x:c>
      <x:c r="F538" s="88" t="str">
        <x:f>IF(C538="","",MIN(D538+E538,$Q$27))</x:f>
      </x:c>
      <x:c r="G538" s="88" t="str">
        <x:f>IF(C538="","",MIN(MAX(0,D538+E538-F538),SUMIFS(SONDERZAHLUNGEN!$E$9:$E$128,SONDERZAHLUNGEN!$B$9:$B$128,C538,SONDERZAHLUNGEN!$C$9:$C$128,A538,SONDERZAHLUNGEN!$H$9:$H$128,"OK",SONDERZAHLUNGEN!$F$9:$F$128,"Ja")))</x:f>
      </x:c>
      <x:c r="H538" s="88" t="str">
        <x:f>IF(C538="","",MIN(MAX(0,D538+E538-F538-G538),MAX(0,IF(MONATSBUDGET!$C$33="",0,MONATSBUDGET!$C$33)-SUM(F520:F539)-SUM(H520:H537))))</x:f>
      </x:c>
      <x:c r="I538" s="88" t="str">
        <x:f>IF(C538="","",MAX(0,ROUND(D538+E538-F538-G538-H538,2)))</x:f>
      </x:c>
      <x:c r="J538" s="88" t="str">
        <x:f>IF(C538="","",F538+G538+H538)</x:f>
      </x:c>
      <x:c r="K538" s="88" t="str">
        <x:f>IF(C538="","",MAX(0,SUMIFS(SONDERZAHLUNGEN!$E$9:$E$128,SONDERZAHLUNGEN!$B$9:$B$128,C538,SONDERZAHLUNGEN!$C$9:$C$128,A538,SONDERZAHLUNGEN!$H$9:$H$128,"OK",SONDERZAHLUNGEN!$F$9:$F$128,"Ja")-G538))</x:f>
      </x:c>
    </x:row>
    <x:row r="539" ht="19" customHeight="1">
      <x:c r="A539" s="90" t="n">
        <x:f>MONATSBUDGET!$A$33</x:f>
        <x:v>46997</x:v>
      </x:c>
      <x:c r="B539" t="n">
        <x:f>20</x:f>
        <x:v>20</x:v>
      </x:c>
      <x:c r="C539" t="str">
        <x:f>IF($N$28="","",$N$28)</x:f>
      </x:c>
      <x:c r="D539" s="88" t="str">
        <x:f>IF(C539="","",I519)</x:f>
      </x:c>
      <x:c r="E539" s="88" t="str">
        <x:f>IF(C539="","",ROUND(D539*$P$28/12,2))</x:f>
      </x:c>
      <x:c r="F539" s="88" t="str">
        <x:f>IF(C539="","",MIN(D539+E539,$Q$28))</x:f>
      </x:c>
      <x:c r="G539" s="88" t="str">
        <x:f>IF(C539="","",MIN(MAX(0,D539+E539-F539),SUMIFS(SONDERZAHLUNGEN!$E$9:$E$128,SONDERZAHLUNGEN!$B$9:$B$128,C539,SONDERZAHLUNGEN!$C$9:$C$128,A539,SONDERZAHLUNGEN!$H$9:$H$128,"OK",SONDERZAHLUNGEN!$F$9:$F$128,"Ja")))</x:f>
      </x:c>
      <x:c r="H539" s="88" t="str">
        <x:f>IF(C539="","",MIN(MAX(0,D539+E539-F539-G539),MAX(0,IF(MONATSBUDGET!$C$33="",0,MONATSBUDGET!$C$33)-SUM(F520:F539)-SUM(H520:H538))))</x:f>
      </x:c>
      <x:c r="I539" s="88" t="str">
        <x:f>IF(C539="","",MAX(0,ROUND(D539+E539-F539-G539-H539,2)))</x:f>
      </x:c>
      <x:c r="J539" s="88" t="str">
        <x:f>IF(C539="","",F539+G539+H539)</x:f>
      </x:c>
      <x:c r="K539" s="88" t="str">
        <x:f>IF(C539="","",MAX(0,SUMIFS(SONDERZAHLUNGEN!$E$9:$E$128,SONDERZAHLUNGEN!$B$9:$B$128,C539,SONDERZAHLUNGEN!$C$9:$C$128,A539,SONDERZAHLUNGEN!$H$9:$H$128,"OK",SONDERZAHLUNGEN!$F$9:$F$128,"Ja")-G539))</x:f>
      </x:c>
    </x:row>
    <x:row r="540" ht="19" customHeight="1">
      <x:c r="A540" s="90" t="n">
        <x:f>MONATSBUDGET!$A$34</x:f>
        <x:v>47027</x:v>
      </x:c>
      <x:c r="B540" t="n">
        <x:f>1</x:f>
        <x:v>1</x:v>
      </x:c>
      <x:c r="C540" t="str">
        <x:f>IF($N$9="","",$N$9)</x:f>
      </x:c>
      <x:c r="D540" s="88" t="str">
        <x:f>IF(C540="","",I520)</x:f>
      </x:c>
      <x:c r="E540" s="88" t="str">
        <x:f>IF(C540="","",ROUND(D540*$P$9/12,2))</x:f>
      </x:c>
      <x:c r="F540" s="88" t="str">
        <x:f>IF(C540="","",MIN(D540+E540,$Q$9))</x:f>
      </x:c>
      <x:c r="G540" s="88" t="str">
        <x:f>IF(C540="","",MIN(MAX(0,D540+E540-F540),SUMIFS(SONDERZAHLUNGEN!$E$9:$E$128,SONDERZAHLUNGEN!$B$9:$B$128,C540,SONDERZAHLUNGEN!$C$9:$C$128,A540,SONDERZAHLUNGEN!$H$9:$H$128,"OK",SONDERZAHLUNGEN!$F$9:$F$128,"Ja")))</x:f>
      </x:c>
      <x:c r="H540" s="88" t="str">
        <x:f>IF(C540="","",MIN(MAX(0,D540+E540-F540-G540),MAX(0,IF(MONATSBUDGET!$C$34="",0,MONATSBUDGET!$C$34)-SUM(F540:F559)-0)))</x:f>
      </x:c>
      <x:c r="I540" s="88" t="str">
        <x:f>IF(C540="","",MAX(0,ROUND(D540+E540-F540-G540-H540,2)))</x:f>
      </x:c>
      <x:c r="J540" s="88" t="str">
        <x:f>IF(C540="","",F540+G540+H540)</x:f>
      </x:c>
      <x:c r="K540" s="88" t="str">
        <x:f>IF(C540="","",MAX(0,SUMIFS(SONDERZAHLUNGEN!$E$9:$E$128,SONDERZAHLUNGEN!$B$9:$B$128,C540,SONDERZAHLUNGEN!$C$9:$C$128,A540,SONDERZAHLUNGEN!$H$9:$H$128,"OK",SONDERZAHLUNGEN!$F$9:$F$128,"Ja")-G540))</x:f>
      </x:c>
    </x:row>
    <x:row r="541" ht="19" customHeight="1">
      <x:c r="A541" s="90" t="n">
        <x:f>MONATSBUDGET!$A$34</x:f>
        <x:v>47027</x:v>
      </x:c>
      <x:c r="B541" t="n">
        <x:f>2</x:f>
        <x:v>2</x:v>
      </x:c>
      <x:c r="C541" t="str">
        <x:f>IF($N$10="","",$N$10)</x:f>
      </x:c>
      <x:c r="D541" s="88" t="str">
        <x:f>IF(C541="","",I521)</x:f>
      </x:c>
      <x:c r="E541" s="88" t="str">
        <x:f>IF(C541="","",ROUND(D541*$P$10/12,2))</x:f>
      </x:c>
      <x:c r="F541" s="88" t="str">
        <x:f>IF(C541="","",MIN(D541+E541,$Q$10))</x:f>
      </x:c>
      <x:c r="G541" s="88" t="str">
        <x:f>IF(C541="","",MIN(MAX(0,D541+E541-F541),SUMIFS(SONDERZAHLUNGEN!$E$9:$E$128,SONDERZAHLUNGEN!$B$9:$B$128,C541,SONDERZAHLUNGEN!$C$9:$C$128,A541,SONDERZAHLUNGEN!$H$9:$H$128,"OK",SONDERZAHLUNGEN!$F$9:$F$128,"Ja")))</x:f>
      </x:c>
      <x:c r="H541" s="88" t="str">
        <x:f>IF(C541="","",MIN(MAX(0,D541+E541-F541-G541),MAX(0,IF(MONATSBUDGET!$C$34="",0,MONATSBUDGET!$C$34)-SUM(F540:F559)-SUM(H540:H540))))</x:f>
      </x:c>
      <x:c r="I541" s="88" t="str">
        <x:f>IF(C541="","",MAX(0,ROUND(D541+E541-F541-G541-H541,2)))</x:f>
      </x:c>
      <x:c r="J541" s="88" t="str">
        <x:f>IF(C541="","",F541+G541+H541)</x:f>
      </x:c>
      <x:c r="K541" s="88" t="str">
        <x:f>IF(C541="","",MAX(0,SUMIFS(SONDERZAHLUNGEN!$E$9:$E$128,SONDERZAHLUNGEN!$B$9:$B$128,C541,SONDERZAHLUNGEN!$C$9:$C$128,A541,SONDERZAHLUNGEN!$H$9:$H$128,"OK",SONDERZAHLUNGEN!$F$9:$F$128,"Ja")-G541))</x:f>
      </x:c>
    </x:row>
    <x:row r="542" ht="19" customHeight="1">
      <x:c r="A542" s="90" t="n">
        <x:f>MONATSBUDGET!$A$34</x:f>
        <x:v>47027</x:v>
      </x:c>
      <x:c r="B542" t="n">
        <x:f>3</x:f>
        <x:v>3</x:v>
      </x:c>
      <x:c r="C542" t="str">
        <x:f>IF($N$11="","",$N$11)</x:f>
      </x:c>
      <x:c r="D542" s="88" t="str">
        <x:f>IF(C542="","",I522)</x:f>
      </x:c>
      <x:c r="E542" s="88" t="str">
        <x:f>IF(C542="","",ROUND(D542*$P$11/12,2))</x:f>
      </x:c>
      <x:c r="F542" s="88" t="str">
        <x:f>IF(C542="","",MIN(D542+E542,$Q$11))</x:f>
      </x:c>
      <x:c r="G542" s="88" t="str">
        <x:f>IF(C542="","",MIN(MAX(0,D542+E542-F542),SUMIFS(SONDERZAHLUNGEN!$E$9:$E$128,SONDERZAHLUNGEN!$B$9:$B$128,C542,SONDERZAHLUNGEN!$C$9:$C$128,A542,SONDERZAHLUNGEN!$H$9:$H$128,"OK",SONDERZAHLUNGEN!$F$9:$F$128,"Ja")))</x:f>
      </x:c>
      <x:c r="H542" s="88" t="str">
        <x:f>IF(C542="","",MIN(MAX(0,D542+E542-F542-G542),MAX(0,IF(MONATSBUDGET!$C$34="",0,MONATSBUDGET!$C$34)-SUM(F540:F559)-SUM(H540:H541))))</x:f>
      </x:c>
      <x:c r="I542" s="88" t="str">
        <x:f>IF(C542="","",MAX(0,ROUND(D542+E542-F542-G542-H542,2)))</x:f>
      </x:c>
      <x:c r="J542" s="88" t="str">
        <x:f>IF(C542="","",F542+G542+H542)</x:f>
      </x:c>
      <x:c r="K542" s="88" t="str">
        <x:f>IF(C542="","",MAX(0,SUMIFS(SONDERZAHLUNGEN!$E$9:$E$128,SONDERZAHLUNGEN!$B$9:$B$128,C542,SONDERZAHLUNGEN!$C$9:$C$128,A542,SONDERZAHLUNGEN!$H$9:$H$128,"OK",SONDERZAHLUNGEN!$F$9:$F$128,"Ja")-G542))</x:f>
      </x:c>
    </x:row>
    <x:row r="543" ht="19" customHeight="1">
      <x:c r="A543" s="90" t="n">
        <x:f>MONATSBUDGET!$A$34</x:f>
        <x:v>47027</x:v>
      </x:c>
      <x:c r="B543" t="n">
        <x:f>4</x:f>
        <x:v>4</x:v>
      </x:c>
      <x:c r="C543" t="str">
        <x:f>IF($N$12="","",$N$12)</x:f>
      </x:c>
      <x:c r="D543" s="88" t="str">
        <x:f>IF(C543="","",I523)</x:f>
      </x:c>
      <x:c r="E543" s="88" t="str">
        <x:f>IF(C543="","",ROUND(D543*$P$12/12,2))</x:f>
      </x:c>
      <x:c r="F543" s="88" t="str">
        <x:f>IF(C543="","",MIN(D543+E543,$Q$12))</x:f>
      </x:c>
      <x:c r="G543" s="88" t="str">
        <x:f>IF(C543="","",MIN(MAX(0,D543+E543-F543),SUMIFS(SONDERZAHLUNGEN!$E$9:$E$128,SONDERZAHLUNGEN!$B$9:$B$128,C543,SONDERZAHLUNGEN!$C$9:$C$128,A543,SONDERZAHLUNGEN!$H$9:$H$128,"OK",SONDERZAHLUNGEN!$F$9:$F$128,"Ja")))</x:f>
      </x:c>
      <x:c r="H543" s="88" t="str">
        <x:f>IF(C543="","",MIN(MAX(0,D543+E543-F543-G543),MAX(0,IF(MONATSBUDGET!$C$34="",0,MONATSBUDGET!$C$34)-SUM(F540:F559)-SUM(H540:H542))))</x:f>
      </x:c>
      <x:c r="I543" s="88" t="str">
        <x:f>IF(C543="","",MAX(0,ROUND(D543+E543-F543-G543-H543,2)))</x:f>
      </x:c>
      <x:c r="J543" s="88" t="str">
        <x:f>IF(C543="","",F543+G543+H543)</x:f>
      </x:c>
      <x:c r="K543" s="88" t="str">
        <x:f>IF(C543="","",MAX(0,SUMIFS(SONDERZAHLUNGEN!$E$9:$E$128,SONDERZAHLUNGEN!$B$9:$B$128,C543,SONDERZAHLUNGEN!$C$9:$C$128,A543,SONDERZAHLUNGEN!$H$9:$H$128,"OK",SONDERZAHLUNGEN!$F$9:$F$128,"Ja")-G543))</x:f>
      </x:c>
    </x:row>
    <x:row r="544" ht="19" customHeight="1">
      <x:c r="A544" s="90" t="n">
        <x:f>MONATSBUDGET!$A$34</x:f>
        <x:v>47027</x:v>
      </x:c>
      <x:c r="B544" t="n">
        <x:f>5</x:f>
        <x:v>5</x:v>
      </x:c>
      <x:c r="C544" t="str">
        <x:f>IF($N$13="","",$N$13)</x:f>
      </x:c>
      <x:c r="D544" s="88" t="str">
        <x:f>IF(C544="","",I524)</x:f>
      </x:c>
      <x:c r="E544" s="88" t="str">
        <x:f>IF(C544="","",ROUND(D544*$P$13/12,2))</x:f>
      </x:c>
      <x:c r="F544" s="88" t="str">
        <x:f>IF(C544="","",MIN(D544+E544,$Q$13))</x:f>
      </x:c>
      <x:c r="G544" s="88" t="str">
        <x:f>IF(C544="","",MIN(MAX(0,D544+E544-F544),SUMIFS(SONDERZAHLUNGEN!$E$9:$E$128,SONDERZAHLUNGEN!$B$9:$B$128,C544,SONDERZAHLUNGEN!$C$9:$C$128,A544,SONDERZAHLUNGEN!$H$9:$H$128,"OK",SONDERZAHLUNGEN!$F$9:$F$128,"Ja")))</x:f>
      </x:c>
      <x:c r="H544" s="88" t="str">
        <x:f>IF(C544="","",MIN(MAX(0,D544+E544-F544-G544),MAX(0,IF(MONATSBUDGET!$C$34="",0,MONATSBUDGET!$C$34)-SUM(F540:F559)-SUM(H540:H543))))</x:f>
      </x:c>
      <x:c r="I544" s="88" t="str">
        <x:f>IF(C544="","",MAX(0,ROUND(D544+E544-F544-G544-H544,2)))</x:f>
      </x:c>
      <x:c r="J544" s="88" t="str">
        <x:f>IF(C544="","",F544+G544+H544)</x:f>
      </x:c>
      <x:c r="K544" s="88" t="str">
        <x:f>IF(C544="","",MAX(0,SUMIFS(SONDERZAHLUNGEN!$E$9:$E$128,SONDERZAHLUNGEN!$B$9:$B$128,C544,SONDERZAHLUNGEN!$C$9:$C$128,A544,SONDERZAHLUNGEN!$H$9:$H$128,"OK",SONDERZAHLUNGEN!$F$9:$F$128,"Ja")-G544))</x:f>
      </x:c>
    </x:row>
    <x:row r="545" ht="19" customHeight="1">
      <x:c r="A545" s="90" t="n">
        <x:f>MONATSBUDGET!$A$34</x:f>
        <x:v>47027</x:v>
      </x:c>
      <x:c r="B545" t="n">
        <x:f>6</x:f>
        <x:v>6</x:v>
      </x:c>
      <x:c r="C545" t="str">
        <x:f>IF($N$14="","",$N$14)</x:f>
      </x:c>
      <x:c r="D545" s="88" t="str">
        <x:f>IF(C545="","",I525)</x:f>
      </x:c>
      <x:c r="E545" s="88" t="str">
        <x:f>IF(C545="","",ROUND(D545*$P$14/12,2))</x:f>
      </x:c>
      <x:c r="F545" s="88" t="str">
        <x:f>IF(C545="","",MIN(D545+E545,$Q$14))</x:f>
      </x:c>
      <x:c r="G545" s="88" t="str">
        <x:f>IF(C545="","",MIN(MAX(0,D545+E545-F545),SUMIFS(SONDERZAHLUNGEN!$E$9:$E$128,SONDERZAHLUNGEN!$B$9:$B$128,C545,SONDERZAHLUNGEN!$C$9:$C$128,A545,SONDERZAHLUNGEN!$H$9:$H$128,"OK",SONDERZAHLUNGEN!$F$9:$F$128,"Ja")))</x:f>
      </x:c>
      <x:c r="H545" s="88" t="str">
        <x:f>IF(C545="","",MIN(MAX(0,D545+E545-F545-G545),MAX(0,IF(MONATSBUDGET!$C$34="",0,MONATSBUDGET!$C$34)-SUM(F540:F559)-SUM(H540:H544))))</x:f>
      </x:c>
      <x:c r="I545" s="88" t="str">
        <x:f>IF(C545="","",MAX(0,ROUND(D545+E545-F545-G545-H545,2)))</x:f>
      </x:c>
      <x:c r="J545" s="88" t="str">
        <x:f>IF(C545="","",F545+G545+H545)</x:f>
      </x:c>
      <x:c r="K545" s="88" t="str">
        <x:f>IF(C545="","",MAX(0,SUMIFS(SONDERZAHLUNGEN!$E$9:$E$128,SONDERZAHLUNGEN!$B$9:$B$128,C545,SONDERZAHLUNGEN!$C$9:$C$128,A545,SONDERZAHLUNGEN!$H$9:$H$128,"OK",SONDERZAHLUNGEN!$F$9:$F$128,"Ja")-G545))</x:f>
      </x:c>
    </x:row>
    <x:row r="546" ht="19" customHeight="1">
      <x:c r="A546" s="90" t="n">
        <x:f>MONATSBUDGET!$A$34</x:f>
        <x:v>47027</x:v>
      </x:c>
      <x:c r="B546" t="n">
        <x:f>7</x:f>
        <x:v>7</x:v>
      </x:c>
      <x:c r="C546" t="str">
        <x:f>IF($N$15="","",$N$15)</x:f>
      </x:c>
      <x:c r="D546" s="88" t="str">
        <x:f>IF(C546="","",I526)</x:f>
      </x:c>
      <x:c r="E546" s="88" t="str">
        <x:f>IF(C546="","",ROUND(D546*$P$15/12,2))</x:f>
      </x:c>
      <x:c r="F546" s="88" t="str">
        <x:f>IF(C546="","",MIN(D546+E546,$Q$15))</x:f>
      </x:c>
      <x:c r="G546" s="88" t="str">
        <x:f>IF(C546="","",MIN(MAX(0,D546+E546-F546),SUMIFS(SONDERZAHLUNGEN!$E$9:$E$128,SONDERZAHLUNGEN!$B$9:$B$128,C546,SONDERZAHLUNGEN!$C$9:$C$128,A546,SONDERZAHLUNGEN!$H$9:$H$128,"OK",SONDERZAHLUNGEN!$F$9:$F$128,"Ja")))</x:f>
      </x:c>
      <x:c r="H546" s="88" t="str">
        <x:f>IF(C546="","",MIN(MAX(0,D546+E546-F546-G546),MAX(0,IF(MONATSBUDGET!$C$34="",0,MONATSBUDGET!$C$34)-SUM(F540:F559)-SUM(H540:H545))))</x:f>
      </x:c>
      <x:c r="I546" s="88" t="str">
        <x:f>IF(C546="","",MAX(0,ROUND(D546+E546-F546-G546-H546,2)))</x:f>
      </x:c>
      <x:c r="J546" s="88" t="str">
        <x:f>IF(C546="","",F546+G546+H546)</x:f>
      </x:c>
      <x:c r="K546" s="88" t="str">
        <x:f>IF(C546="","",MAX(0,SUMIFS(SONDERZAHLUNGEN!$E$9:$E$128,SONDERZAHLUNGEN!$B$9:$B$128,C546,SONDERZAHLUNGEN!$C$9:$C$128,A546,SONDERZAHLUNGEN!$H$9:$H$128,"OK",SONDERZAHLUNGEN!$F$9:$F$128,"Ja")-G546))</x:f>
      </x:c>
    </x:row>
    <x:row r="547" ht="19" customHeight="1">
      <x:c r="A547" s="90" t="n">
        <x:f>MONATSBUDGET!$A$34</x:f>
        <x:v>47027</x:v>
      </x:c>
      <x:c r="B547" t="n">
        <x:f>8</x:f>
        <x:v>8</x:v>
      </x:c>
      <x:c r="C547" t="str">
        <x:f>IF($N$16="","",$N$16)</x:f>
      </x:c>
      <x:c r="D547" s="88" t="str">
        <x:f>IF(C547="","",I527)</x:f>
      </x:c>
      <x:c r="E547" s="88" t="str">
        <x:f>IF(C547="","",ROUND(D547*$P$16/12,2))</x:f>
      </x:c>
      <x:c r="F547" s="88" t="str">
        <x:f>IF(C547="","",MIN(D547+E547,$Q$16))</x:f>
      </x:c>
      <x:c r="G547" s="88" t="str">
        <x:f>IF(C547="","",MIN(MAX(0,D547+E547-F547),SUMIFS(SONDERZAHLUNGEN!$E$9:$E$128,SONDERZAHLUNGEN!$B$9:$B$128,C547,SONDERZAHLUNGEN!$C$9:$C$128,A547,SONDERZAHLUNGEN!$H$9:$H$128,"OK",SONDERZAHLUNGEN!$F$9:$F$128,"Ja")))</x:f>
      </x:c>
      <x:c r="H547" s="88" t="str">
        <x:f>IF(C547="","",MIN(MAX(0,D547+E547-F547-G547),MAX(0,IF(MONATSBUDGET!$C$34="",0,MONATSBUDGET!$C$34)-SUM(F540:F559)-SUM(H540:H546))))</x:f>
      </x:c>
      <x:c r="I547" s="88" t="str">
        <x:f>IF(C547="","",MAX(0,ROUND(D547+E547-F547-G547-H547,2)))</x:f>
      </x:c>
      <x:c r="J547" s="88" t="str">
        <x:f>IF(C547="","",F547+G547+H547)</x:f>
      </x:c>
      <x:c r="K547" s="88" t="str">
        <x:f>IF(C547="","",MAX(0,SUMIFS(SONDERZAHLUNGEN!$E$9:$E$128,SONDERZAHLUNGEN!$B$9:$B$128,C547,SONDERZAHLUNGEN!$C$9:$C$128,A547,SONDERZAHLUNGEN!$H$9:$H$128,"OK",SONDERZAHLUNGEN!$F$9:$F$128,"Ja")-G547))</x:f>
      </x:c>
    </x:row>
    <x:row r="548" ht="19" customHeight="1">
      <x:c r="A548" s="90" t="n">
        <x:f>MONATSBUDGET!$A$34</x:f>
        <x:v>47027</x:v>
      </x:c>
      <x:c r="B548" t="n">
        <x:f>9</x:f>
        <x:v>9</x:v>
      </x:c>
      <x:c r="C548" t="str">
        <x:f>IF($N$17="","",$N$17)</x:f>
      </x:c>
      <x:c r="D548" s="88" t="str">
        <x:f>IF(C548="","",I528)</x:f>
      </x:c>
      <x:c r="E548" s="88" t="str">
        <x:f>IF(C548="","",ROUND(D548*$P$17/12,2))</x:f>
      </x:c>
      <x:c r="F548" s="88" t="str">
        <x:f>IF(C548="","",MIN(D548+E548,$Q$17))</x:f>
      </x:c>
      <x:c r="G548" s="88" t="str">
        <x:f>IF(C548="","",MIN(MAX(0,D548+E548-F548),SUMIFS(SONDERZAHLUNGEN!$E$9:$E$128,SONDERZAHLUNGEN!$B$9:$B$128,C548,SONDERZAHLUNGEN!$C$9:$C$128,A548,SONDERZAHLUNGEN!$H$9:$H$128,"OK",SONDERZAHLUNGEN!$F$9:$F$128,"Ja")))</x:f>
      </x:c>
      <x:c r="H548" s="88" t="str">
        <x:f>IF(C548="","",MIN(MAX(0,D548+E548-F548-G548),MAX(0,IF(MONATSBUDGET!$C$34="",0,MONATSBUDGET!$C$34)-SUM(F540:F559)-SUM(H540:H547))))</x:f>
      </x:c>
      <x:c r="I548" s="88" t="str">
        <x:f>IF(C548="","",MAX(0,ROUND(D548+E548-F548-G548-H548,2)))</x:f>
      </x:c>
      <x:c r="J548" s="88" t="str">
        <x:f>IF(C548="","",F548+G548+H548)</x:f>
      </x:c>
      <x:c r="K548" s="88" t="str">
        <x:f>IF(C548="","",MAX(0,SUMIFS(SONDERZAHLUNGEN!$E$9:$E$128,SONDERZAHLUNGEN!$B$9:$B$128,C548,SONDERZAHLUNGEN!$C$9:$C$128,A548,SONDERZAHLUNGEN!$H$9:$H$128,"OK",SONDERZAHLUNGEN!$F$9:$F$128,"Ja")-G548))</x:f>
      </x:c>
    </x:row>
    <x:row r="549" ht="19" customHeight="1">
      <x:c r="A549" s="90" t="n">
        <x:f>MONATSBUDGET!$A$34</x:f>
        <x:v>47027</x:v>
      </x:c>
      <x:c r="B549" t="n">
        <x:f>10</x:f>
        <x:v>10</x:v>
      </x:c>
      <x:c r="C549" t="str">
        <x:f>IF($N$18="","",$N$18)</x:f>
      </x:c>
      <x:c r="D549" s="88" t="str">
        <x:f>IF(C549="","",I529)</x:f>
      </x:c>
      <x:c r="E549" s="88" t="str">
        <x:f>IF(C549="","",ROUND(D549*$P$18/12,2))</x:f>
      </x:c>
      <x:c r="F549" s="88" t="str">
        <x:f>IF(C549="","",MIN(D549+E549,$Q$18))</x:f>
      </x:c>
      <x:c r="G549" s="88" t="str">
        <x:f>IF(C549="","",MIN(MAX(0,D549+E549-F549),SUMIFS(SONDERZAHLUNGEN!$E$9:$E$128,SONDERZAHLUNGEN!$B$9:$B$128,C549,SONDERZAHLUNGEN!$C$9:$C$128,A549,SONDERZAHLUNGEN!$H$9:$H$128,"OK",SONDERZAHLUNGEN!$F$9:$F$128,"Ja")))</x:f>
      </x:c>
      <x:c r="H549" s="88" t="str">
        <x:f>IF(C549="","",MIN(MAX(0,D549+E549-F549-G549),MAX(0,IF(MONATSBUDGET!$C$34="",0,MONATSBUDGET!$C$34)-SUM(F540:F559)-SUM(H540:H548))))</x:f>
      </x:c>
      <x:c r="I549" s="88" t="str">
        <x:f>IF(C549="","",MAX(0,ROUND(D549+E549-F549-G549-H549,2)))</x:f>
      </x:c>
      <x:c r="J549" s="88" t="str">
        <x:f>IF(C549="","",F549+G549+H549)</x:f>
      </x:c>
      <x:c r="K549" s="88" t="str">
        <x:f>IF(C549="","",MAX(0,SUMIFS(SONDERZAHLUNGEN!$E$9:$E$128,SONDERZAHLUNGEN!$B$9:$B$128,C549,SONDERZAHLUNGEN!$C$9:$C$128,A549,SONDERZAHLUNGEN!$H$9:$H$128,"OK",SONDERZAHLUNGEN!$F$9:$F$128,"Ja")-G549))</x:f>
      </x:c>
    </x:row>
    <x:row r="550" ht="19" customHeight="1">
      <x:c r="A550" s="90" t="n">
        <x:f>MONATSBUDGET!$A$34</x:f>
        <x:v>47027</x:v>
      </x:c>
      <x:c r="B550" t="n">
        <x:f>11</x:f>
        <x:v>11</x:v>
      </x:c>
      <x:c r="C550" t="str">
        <x:f>IF($N$19="","",$N$19)</x:f>
      </x:c>
      <x:c r="D550" s="88" t="str">
        <x:f>IF(C550="","",I530)</x:f>
      </x:c>
      <x:c r="E550" s="88" t="str">
        <x:f>IF(C550="","",ROUND(D550*$P$19/12,2))</x:f>
      </x:c>
      <x:c r="F550" s="88" t="str">
        <x:f>IF(C550="","",MIN(D550+E550,$Q$19))</x:f>
      </x:c>
      <x:c r="G550" s="88" t="str">
        <x:f>IF(C550="","",MIN(MAX(0,D550+E550-F550),SUMIFS(SONDERZAHLUNGEN!$E$9:$E$128,SONDERZAHLUNGEN!$B$9:$B$128,C550,SONDERZAHLUNGEN!$C$9:$C$128,A550,SONDERZAHLUNGEN!$H$9:$H$128,"OK",SONDERZAHLUNGEN!$F$9:$F$128,"Ja")))</x:f>
      </x:c>
      <x:c r="H550" s="88" t="str">
        <x:f>IF(C550="","",MIN(MAX(0,D550+E550-F550-G550),MAX(0,IF(MONATSBUDGET!$C$34="",0,MONATSBUDGET!$C$34)-SUM(F540:F559)-SUM(H540:H549))))</x:f>
      </x:c>
      <x:c r="I550" s="88" t="str">
        <x:f>IF(C550="","",MAX(0,ROUND(D550+E550-F550-G550-H550,2)))</x:f>
      </x:c>
      <x:c r="J550" s="88" t="str">
        <x:f>IF(C550="","",F550+G550+H550)</x:f>
      </x:c>
      <x:c r="K550" s="88" t="str">
        <x:f>IF(C550="","",MAX(0,SUMIFS(SONDERZAHLUNGEN!$E$9:$E$128,SONDERZAHLUNGEN!$B$9:$B$128,C550,SONDERZAHLUNGEN!$C$9:$C$128,A550,SONDERZAHLUNGEN!$H$9:$H$128,"OK",SONDERZAHLUNGEN!$F$9:$F$128,"Ja")-G550))</x:f>
      </x:c>
    </x:row>
    <x:row r="551" ht="19" customHeight="1">
      <x:c r="A551" s="90" t="n">
        <x:f>MONATSBUDGET!$A$34</x:f>
        <x:v>47027</x:v>
      </x:c>
      <x:c r="B551" t="n">
        <x:f>12</x:f>
        <x:v>12</x:v>
      </x:c>
      <x:c r="C551" t="str">
        <x:f>IF($N$20="","",$N$20)</x:f>
      </x:c>
      <x:c r="D551" s="88" t="str">
        <x:f>IF(C551="","",I531)</x:f>
      </x:c>
      <x:c r="E551" s="88" t="str">
        <x:f>IF(C551="","",ROUND(D551*$P$20/12,2))</x:f>
      </x:c>
      <x:c r="F551" s="88" t="str">
        <x:f>IF(C551="","",MIN(D551+E551,$Q$20))</x:f>
      </x:c>
      <x:c r="G551" s="88" t="str">
        <x:f>IF(C551="","",MIN(MAX(0,D551+E551-F551),SUMIFS(SONDERZAHLUNGEN!$E$9:$E$128,SONDERZAHLUNGEN!$B$9:$B$128,C551,SONDERZAHLUNGEN!$C$9:$C$128,A551,SONDERZAHLUNGEN!$H$9:$H$128,"OK",SONDERZAHLUNGEN!$F$9:$F$128,"Ja")))</x:f>
      </x:c>
      <x:c r="H551" s="88" t="str">
        <x:f>IF(C551="","",MIN(MAX(0,D551+E551-F551-G551),MAX(0,IF(MONATSBUDGET!$C$34="",0,MONATSBUDGET!$C$34)-SUM(F540:F559)-SUM(H540:H550))))</x:f>
      </x:c>
      <x:c r="I551" s="88" t="str">
        <x:f>IF(C551="","",MAX(0,ROUND(D551+E551-F551-G551-H551,2)))</x:f>
      </x:c>
      <x:c r="J551" s="88" t="str">
        <x:f>IF(C551="","",F551+G551+H551)</x:f>
      </x:c>
      <x:c r="K551" s="88" t="str">
        <x:f>IF(C551="","",MAX(0,SUMIFS(SONDERZAHLUNGEN!$E$9:$E$128,SONDERZAHLUNGEN!$B$9:$B$128,C551,SONDERZAHLUNGEN!$C$9:$C$128,A551,SONDERZAHLUNGEN!$H$9:$H$128,"OK",SONDERZAHLUNGEN!$F$9:$F$128,"Ja")-G551))</x:f>
      </x:c>
    </x:row>
    <x:row r="552" ht="19" customHeight="1">
      <x:c r="A552" s="90" t="n">
        <x:f>MONATSBUDGET!$A$34</x:f>
        <x:v>47027</x:v>
      </x:c>
      <x:c r="B552" t="n">
        <x:f>13</x:f>
        <x:v>13</x:v>
      </x:c>
      <x:c r="C552" t="str">
        <x:f>IF($N$21="","",$N$21)</x:f>
      </x:c>
      <x:c r="D552" s="88" t="str">
        <x:f>IF(C552="","",I532)</x:f>
      </x:c>
      <x:c r="E552" s="88" t="str">
        <x:f>IF(C552="","",ROUND(D552*$P$21/12,2))</x:f>
      </x:c>
      <x:c r="F552" s="88" t="str">
        <x:f>IF(C552="","",MIN(D552+E552,$Q$21))</x:f>
      </x:c>
      <x:c r="G552" s="88" t="str">
        <x:f>IF(C552="","",MIN(MAX(0,D552+E552-F552),SUMIFS(SONDERZAHLUNGEN!$E$9:$E$128,SONDERZAHLUNGEN!$B$9:$B$128,C552,SONDERZAHLUNGEN!$C$9:$C$128,A552,SONDERZAHLUNGEN!$H$9:$H$128,"OK",SONDERZAHLUNGEN!$F$9:$F$128,"Ja")))</x:f>
      </x:c>
      <x:c r="H552" s="88" t="str">
        <x:f>IF(C552="","",MIN(MAX(0,D552+E552-F552-G552),MAX(0,IF(MONATSBUDGET!$C$34="",0,MONATSBUDGET!$C$34)-SUM(F540:F559)-SUM(H540:H551))))</x:f>
      </x:c>
      <x:c r="I552" s="88" t="str">
        <x:f>IF(C552="","",MAX(0,ROUND(D552+E552-F552-G552-H552,2)))</x:f>
      </x:c>
      <x:c r="J552" s="88" t="str">
        <x:f>IF(C552="","",F552+G552+H552)</x:f>
      </x:c>
      <x:c r="K552" s="88" t="str">
        <x:f>IF(C552="","",MAX(0,SUMIFS(SONDERZAHLUNGEN!$E$9:$E$128,SONDERZAHLUNGEN!$B$9:$B$128,C552,SONDERZAHLUNGEN!$C$9:$C$128,A552,SONDERZAHLUNGEN!$H$9:$H$128,"OK",SONDERZAHLUNGEN!$F$9:$F$128,"Ja")-G552))</x:f>
      </x:c>
    </x:row>
    <x:row r="553" ht="19" customHeight="1">
      <x:c r="A553" s="90" t="n">
        <x:f>MONATSBUDGET!$A$34</x:f>
        <x:v>47027</x:v>
      </x:c>
      <x:c r="B553" t="n">
        <x:f>14</x:f>
        <x:v>14</x:v>
      </x:c>
      <x:c r="C553" t="str">
        <x:f>IF($N$22="","",$N$22)</x:f>
      </x:c>
      <x:c r="D553" s="88" t="str">
        <x:f>IF(C553="","",I533)</x:f>
      </x:c>
      <x:c r="E553" s="88" t="str">
        <x:f>IF(C553="","",ROUND(D553*$P$22/12,2))</x:f>
      </x:c>
      <x:c r="F553" s="88" t="str">
        <x:f>IF(C553="","",MIN(D553+E553,$Q$22))</x:f>
      </x:c>
      <x:c r="G553" s="88" t="str">
        <x:f>IF(C553="","",MIN(MAX(0,D553+E553-F553),SUMIFS(SONDERZAHLUNGEN!$E$9:$E$128,SONDERZAHLUNGEN!$B$9:$B$128,C553,SONDERZAHLUNGEN!$C$9:$C$128,A553,SONDERZAHLUNGEN!$H$9:$H$128,"OK",SONDERZAHLUNGEN!$F$9:$F$128,"Ja")))</x:f>
      </x:c>
      <x:c r="H553" s="88" t="str">
        <x:f>IF(C553="","",MIN(MAX(0,D553+E553-F553-G553),MAX(0,IF(MONATSBUDGET!$C$34="",0,MONATSBUDGET!$C$34)-SUM(F540:F559)-SUM(H540:H552))))</x:f>
      </x:c>
      <x:c r="I553" s="88" t="str">
        <x:f>IF(C553="","",MAX(0,ROUND(D553+E553-F553-G553-H553,2)))</x:f>
      </x:c>
      <x:c r="J553" s="88" t="str">
        <x:f>IF(C553="","",F553+G553+H553)</x:f>
      </x:c>
      <x:c r="K553" s="88" t="str">
        <x:f>IF(C553="","",MAX(0,SUMIFS(SONDERZAHLUNGEN!$E$9:$E$128,SONDERZAHLUNGEN!$B$9:$B$128,C553,SONDERZAHLUNGEN!$C$9:$C$128,A553,SONDERZAHLUNGEN!$H$9:$H$128,"OK",SONDERZAHLUNGEN!$F$9:$F$128,"Ja")-G553))</x:f>
      </x:c>
    </x:row>
    <x:row r="554" ht="19" customHeight="1">
      <x:c r="A554" s="90" t="n">
        <x:f>MONATSBUDGET!$A$34</x:f>
        <x:v>47027</x:v>
      </x:c>
      <x:c r="B554" t="n">
        <x:f>15</x:f>
        <x:v>15</x:v>
      </x:c>
      <x:c r="C554" t="str">
        <x:f>IF($N$23="","",$N$23)</x:f>
      </x:c>
      <x:c r="D554" s="88" t="str">
        <x:f>IF(C554="","",I534)</x:f>
      </x:c>
      <x:c r="E554" s="88" t="str">
        <x:f>IF(C554="","",ROUND(D554*$P$23/12,2))</x:f>
      </x:c>
      <x:c r="F554" s="88" t="str">
        <x:f>IF(C554="","",MIN(D554+E554,$Q$23))</x:f>
      </x:c>
      <x:c r="G554" s="88" t="str">
        <x:f>IF(C554="","",MIN(MAX(0,D554+E554-F554),SUMIFS(SONDERZAHLUNGEN!$E$9:$E$128,SONDERZAHLUNGEN!$B$9:$B$128,C554,SONDERZAHLUNGEN!$C$9:$C$128,A554,SONDERZAHLUNGEN!$H$9:$H$128,"OK",SONDERZAHLUNGEN!$F$9:$F$128,"Ja")))</x:f>
      </x:c>
      <x:c r="H554" s="88" t="str">
        <x:f>IF(C554="","",MIN(MAX(0,D554+E554-F554-G554),MAX(0,IF(MONATSBUDGET!$C$34="",0,MONATSBUDGET!$C$34)-SUM(F540:F559)-SUM(H540:H553))))</x:f>
      </x:c>
      <x:c r="I554" s="88" t="str">
        <x:f>IF(C554="","",MAX(0,ROUND(D554+E554-F554-G554-H554,2)))</x:f>
      </x:c>
      <x:c r="J554" s="88" t="str">
        <x:f>IF(C554="","",F554+G554+H554)</x:f>
      </x:c>
      <x:c r="K554" s="88" t="str">
        <x:f>IF(C554="","",MAX(0,SUMIFS(SONDERZAHLUNGEN!$E$9:$E$128,SONDERZAHLUNGEN!$B$9:$B$128,C554,SONDERZAHLUNGEN!$C$9:$C$128,A554,SONDERZAHLUNGEN!$H$9:$H$128,"OK",SONDERZAHLUNGEN!$F$9:$F$128,"Ja")-G554))</x:f>
      </x:c>
    </x:row>
    <x:row r="555" ht="19" customHeight="1">
      <x:c r="A555" s="90" t="n">
        <x:f>MONATSBUDGET!$A$34</x:f>
        <x:v>47027</x:v>
      </x:c>
      <x:c r="B555" t="n">
        <x:f>16</x:f>
        <x:v>16</x:v>
      </x:c>
      <x:c r="C555" t="str">
        <x:f>IF($N$24="","",$N$24)</x:f>
      </x:c>
      <x:c r="D555" s="88" t="str">
        <x:f>IF(C555="","",I535)</x:f>
      </x:c>
      <x:c r="E555" s="88" t="str">
        <x:f>IF(C555="","",ROUND(D555*$P$24/12,2))</x:f>
      </x:c>
      <x:c r="F555" s="88" t="str">
        <x:f>IF(C555="","",MIN(D555+E555,$Q$24))</x:f>
      </x:c>
      <x:c r="G555" s="88" t="str">
        <x:f>IF(C555="","",MIN(MAX(0,D555+E555-F555),SUMIFS(SONDERZAHLUNGEN!$E$9:$E$128,SONDERZAHLUNGEN!$B$9:$B$128,C555,SONDERZAHLUNGEN!$C$9:$C$128,A555,SONDERZAHLUNGEN!$H$9:$H$128,"OK",SONDERZAHLUNGEN!$F$9:$F$128,"Ja")))</x:f>
      </x:c>
      <x:c r="H555" s="88" t="str">
        <x:f>IF(C555="","",MIN(MAX(0,D555+E555-F555-G555),MAX(0,IF(MONATSBUDGET!$C$34="",0,MONATSBUDGET!$C$34)-SUM(F540:F559)-SUM(H540:H554))))</x:f>
      </x:c>
      <x:c r="I555" s="88" t="str">
        <x:f>IF(C555="","",MAX(0,ROUND(D555+E555-F555-G555-H555,2)))</x:f>
      </x:c>
      <x:c r="J555" s="88" t="str">
        <x:f>IF(C555="","",F555+G555+H555)</x:f>
      </x:c>
      <x:c r="K555" s="88" t="str">
        <x:f>IF(C555="","",MAX(0,SUMIFS(SONDERZAHLUNGEN!$E$9:$E$128,SONDERZAHLUNGEN!$B$9:$B$128,C555,SONDERZAHLUNGEN!$C$9:$C$128,A555,SONDERZAHLUNGEN!$H$9:$H$128,"OK",SONDERZAHLUNGEN!$F$9:$F$128,"Ja")-G555))</x:f>
      </x:c>
    </x:row>
    <x:row r="556" ht="19" customHeight="1">
      <x:c r="A556" s="90" t="n">
        <x:f>MONATSBUDGET!$A$34</x:f>
        <x:v>47027</x:v>
      </x:c>
      <x:c r="B556" t="n">
        <x:f>17</x:f>
        <x:v>17</x:v>
      </x:c>
      <x:c r="C556" t="str">
        <x:f>IF($N$25="","",$N$25)</x:f>
      </x:c>
      <x:c r="D556" s="88" t="str">
        <x:f>IF(C556="","",I536)</x:f>
      </x:c>
      <x:c r="E556" s="88" t="str">
        <x:f>IF(C556="","",ROUND(D556*$P$25/12,2))</x:f>
      </x:c>
      <x:c r="F556" s="88" t="str">
        <x:f>IF(C556="","",MIN(D556+E556,$Q$25))</x:f>
      </x:c>
      <x:c r="G556" s="88" t="str">
        <x:f>IF(C556="","",MIN(MAX(0,D556+E556-F556),SUMIFS(SONDERZAHLUNGEN!$E$9:$E$128,SONDERZAHLUNGEN!$B$9:$B$128,C556,SONDERZAHLUNGEN!$C$9:$C$128,A556,SONDERZAHLUNGEN!$H$9:$H$128,"OK",SONDERZAHLUNGEN!$F$9:$F$128,"Ja")))</x:f>
      </x:c>
      <x:c r="H556" s="88" t="str">
        <x:f>IF(C556="","",MIN(MAX(0,D556+E556-F556-G556),MAX(0,IF(MONATSBUDGET!$C$34="",0,MONATSBUDGET!$C$34)-SUM(F540:F559)-SUM(H540:H555))))</x:f>
      </x:c>
      <x:c r="I556" s="88" t="str">
        <x:f>IF(C556="","",MAX(0,ROUND(D556+E556-F556-G556-H556,2)))</x:f>
      </x:c>
      <x:c r="J556" s="88" t="str">
        <x:f>IF(C556="","",F556+G556+H556)</x:f>
      </x:c>
      <x:c r="K556" s="88" t="str">
        <x:f>IF(C556="","",MAX(0,SUMIFS(SONDERZAHLUNGEN!$E$9:$E$128,SONDERZAHLUNGEN!$B$9:$B$128,C556,SONDERZAHLUNGEN!$C$9:$C$128,A556,SONDERZAHLUNGEN!$H$9:$H$128,"OK",SONDERZAHLUNGEN!$F$9:$F$128,"Ja")-G556))</x:f>
      </x:c>
    </x:row>
    <x:row r="557" ht="19" customHeight="1">
      <x:c r="A557" s="90" t="n">
        <x:f>MONATSBUDGET!$A$34</x:f>
        <x:v>47027</x:v>
      </x:c>
      <x:c r="B557" t="n">
        <x:f>18</x:f>
        <x:v>18</x:v>
      </x:c>
      <x:c r="C557" t="str">
        <x:f>IF($N$26="","",$N$26)</x:f>
      </x:c>
      <x:c r="D557" s="88" t="str">
        <x:f>IF(C557="","",I537)</x:f>
      </x:c>
      <x:c r="E557" s="88" t="str">
        <x:f>IF(C557="","",ROUND(D557*$P$26/12,2))</x:f>
      </x:c>
      <x:c r="F557" s="88" t="str">
        <x:f>IF(C557="","",MIN(D557+E557,$Q$26))</x:f>
      </x:c>
      <x:c r="G557" s="88" t="str">
        <x:f>IF(C557="","",MIN(MAX(0,D557+E557-F557),SUMIFS(SONDERZAHLUNGEN!$E$9:$E$128,SONDERZAHLUNGEN!$B$9:$B$128,C557,SONDERZAHLUNGEN!$C$9:$C$128,A557,SONDERZAHLUNGEN!$H$9:$H$128,"OK",SONDERZAHLUNGEN!$F$9:$F$128,"Ja")))</x:f>
      </x:c>
      <x:c r="H557" s="88" t="str">
        <x:f>IF(C557="","",MIN(MAX(0,D557+E557-F557-G557),MAX(0,IF(MONATSBUDGET!$C$34="",0,MONATSBUDGET!$C$34)-SUM(F540:F559)-SUM(H540:H556))))</x:f>
      </x:c>
      <x:c r="I557" s="88" t="str">
        <x:f>IF(C557="","",MAX(0,ROUND(D557+E557-F557-G557-H557,2)))</x:f>
      </x:c>
      <x:c r="J557" s="88" t="str">
        <x:f>IF(C557="","",F557+G557+H557)</x:f>
      </x:c>
      <x:c r="K557" s="88" t="str">
        <x:f>IF(C557="","",MAX(0,SUMIFS(SONDERZAHLUNGEN!$E$9:$E$128,SONDERZAHLUNGEN!$B$9:$B$128,C557,SONDERZAHLUNGEN!$C$9:$C$128,A557,SONDERZAHLUNGEN!$H$9:$H$128,"OK",SONDERZAHLUNGEN!$F$9:$F$128,"Ja")-G557))</x:f>
      </x:c>
    </x:row>
    <x:row r="558" ht="19" customHeight="1">
      <x:c r="A558" s="90" t="n">
        <x:f>MONATSBUDGET!$A$34</x:f>
        <x:v>47027</x:v>
      </x:c>
      <x:c r="B558" t="n">
        <x:f>19</x:f>
        <x:v>19</x:v>
      </x:c>
      <x:c r="C558" t="str">
        <x:f>IF($N$27="","",$N$27)</x:f>
      </x:c>
      <x:c r="D558" s="88" t="str">
        <x:f>IF(C558="","",I538)</x:f>
      </x:c>
      <x:c r="E558" s="88" t="str">
        <x:f>IF(C558="","",ROUND(D558*$P$27/12,2))</x:f>
      </x:c>
      <x:c r="F558" s="88" t="str">
        <x:f>IF(C558="","",MIN(D558+E558,$Q$27))</x:f>
      </x:c>
      <x:c r="G558" s="88" t="str">
        <x:f>IF(C558="","",MIN(MAX(0,D558+E558-F558),SUMIFS(SONDERZAHLUNGEN!$E$9:$E$128,SONDERZAHLUNGEN!$B$9:$B$128,C558,SONDERZAHLUNGEN!$C$9:$C$128,A558,SONDERZAHLUNGEN!$H$9:$H$128,"OK",SONDERZAHLUNGEN!$F$9:$F$128,"Ja")))</x:f>
      </x:c>
      <x:c r="H558" s="88" t="str">
        <x:f>IF(C558="","",MIN(MAX(0,D558+E558-F558-G558),MAX(0,IF(MONATSBUDGET!$C$34="",0,MONATSBUDGET!$C$34)-SUM(F540:F559)-SUM(H540:H557))))</x:f>
      </x:c>
      <x:c r="I558" s="88" t="str">
        <x:f>IF(C558="","",MAX(0,ROUND(D558+E558-F558-G558-H558,2)))</x:f>
      </x:c>
      <x:c r="J558" s="88" t="str">
        <x:f>IF(C558="","",F558+G558+H558)</x:f>
      </x:c>
      <x:c r="K558" s="88" t="str">
        <x:f>IF(C558="","",MAX(0,SUMIFS(SONDERZAHLUNGEN!$E$9:$E$128,SONDERZAHLUNGEN!$B$9:$B$128,C558,SONDERZAHLUNGEN!$C$9:$C$128,A558,SONDERZAHLUNGEN!$H$9:$H$128,"OK",SONDERZAHLUNGEN!$F$9:$F$128,"Ja")-G558))</x:f>
      </x:c>
    </x:row>
    <x:row r="559" ht="19" customHeight="1">
      <x:c r="A559" s="90" t="n">
        <x:f>MONATSBUDGET!$A$34</x:f>
        <x:v>47027</x:v>
      </x:c>
      <x:c r="B559" t="n">
        <x:f>20</x:f>
        <x:v>20</x:v>
      </x:c>
      <x:c r="C559" t="str">
        <x:f>IF($N$28="","",$N$28)</x:f>
      </x:c>
      <x:c r="D559" s="88" t="str">
        <x:f>IF(C559="","",I539)</x:f>
      </x:c>
      <x:c r="E559" s="88" t="str">
        <x:f>IF(C559="","",ROUND(D559*$P$28/12,2))</x:f>
      </x:c>
      <x:c r="F559" s="88" t="str">
        <x:f>IF(C559="","",MIN(D559+E559,$Q$28))</x:f>
      </x:c>
      <x:c r="G559" s="88" t="str">
        <x:f>IF(C559="","",MIN(MAX(0,D559+E559-F559),SUMIFS(SONDERZAHLUNGEN!$E$9:$E$128,SONDERZAHLUNGEN!$B$9:$B$128,C559,SONDERZAHLUNGEN!$C$9:$C$128,A559,SONDERZAHLUNGEN!$H$9:$H$128,"OK",SONDERZAHLUNGEN!$F$9:$F$128,"Ja")))</x:f>
      </x:c>
      <x:c r="H559" s="88" t="str">
        <x:f>IF(C559="","",MIN(MAX(0,D559+E559-F559-G559),MAX(0,IF(MONATSBUDGET!$C$34="",0,MONATSBUDGET!$C$34)-SUM(F540:F559)-SUM(H540:H558))))</x:f>
      </x:c>
      <x:c r="I559" s="88" t="str">
        <x:f>IF(C559="","",MAX(0,ROUND(D559+E559-F559-G559-H559,2)))</x:f>
      </x:c>
      <x:c r="J559" s="88" t="str">
        <x:f>IF(C559="","",F559+G559+H559)</x:f>
      </x:c>
      <x:c r="K559" s="88" t="str">
        <x:f>IF(C559="","",MAX(0,SUMIFS(SONDERZAHLUNGEN!$E$9:$E$128,SONDERZAHLUNGEN!$B$9:$B$128,C559,SONDERZAHLUNGEN!$C$9:$C$128,A559,SONDERZAHLUNGEN!$H$9:$H$128,"OK",SONDERZAHLUNGEN!$F$9:$F$128,"Ja")-G559))</x:f>
      </x:c>
    </x:row>
    <x:row r="560" ht="19" customHeight="1">
      <x:c r="A560" s="90" t="n">
        <x:f>MONATSBUDGET!$A$35</x:f>
        <x:v>47058</x:v>
      </x:c>
      <x:c r="B560" t="n">
        <x:f>1</x:f>
        <x:v>1</x:v>
      </x:c>
      <x:c r="C560" t="str">
        <x:f>IF($N$9="","",$N$9)</x:f>
      </x:c>
      <x:c r="D560" s="88" t="str">
        <x:f>IF(C560="","",I540)</x:f>
      </x:c>
      <x:c r="E560" s="88" t="str">
        <x:f>IF(C560="","",ROUND(D560*$P$9/12,2))</x:f>
      </x:c>
      <x:c r="F560" s="88" t="str">
        <x:f>IF(C560="","",MIN(D560+E560,$Q$9))</x:f>
      </x:c>
      <x:c r="G560" s="88" t="str">
        <x:f>IF(C560="","",MIN(MAX(0,D560+E560-F560),SUMIFS(SONDERZAHLUNGEN!$E$9:$E$128,SONDERZAHLUNGEN!$B$9:$B$128,C560,SONDERZAHLUNGEN!$C$9:$C$128,A560,SONDERZAHLUNGEN!$H$9:$H$128,"OK",SONDERZAHLUNGEN!$F$9:$F$128,"Ja")))</x:f>
      </x:c>
      <x:c r="H560" s="88" t="str">
        <x:f>IF(C560="","",MIN(MAX(0,D560+E560-F560-G560),MAX(0,IF(MONATSBUDGET!$C$35="",0,MONATSBUDGET!$C$35)-SUM(F560:F579)-0)))</x:f>
      </x:c>
      <x:c r="I560" s="88" t="str">
        <x:f>IF(C560="","",MAX(0,ROUND(D560+E560-F560-G560-H560,2)))</x:f>
      </x:c>
      <x:c r="J560" s="88" t="str">
        <x:f>IF(C560="","",F560+G560+H560)</x:f>
      </x:c>
      <x:c r="K560" s="88" t="str">
        <x:f>IF(C560="","",MAX(0,SUMIFS(SONDERZAHLUNGEN!$E$9:$E$128,SONDERZAHLUNGEN!$B$9:$B$128,C560,SONDERZAHLUNGEN!$C$9:$C$128,A560,SONDERZAHLUNGEN!$H$9:$H$128,"OK",SONDERZAHLUNGEN!$F$9:$F$128,"Ja")-G560))</x:f>
      </x:c>
    </x:row>
    <x:row r="561" ht="19" customHeight="1">
      <x:c r="A561" s="90" t="n">
        <x:f>MONATSBUDGET!$A$35</x:f>
        <x:v>47058</x:v>
      </x:c>
      <x:c r="B561" t="n">
        <x:f>2</x:f>
        <x:v>2</x:v>
      </x:c>
      <x:c r="C561" t="str">
        <x:f>IF($N$10="","",$N$10)</x:f>
      </x:c>
      <x:c r="D561" s="88" t="str">
        <x:f>IF(C561="","",I541)</x:f>
      </x:c>
      <x:c r="E561" s="88" t="str">
        <x:f>IF(C561="","",ROUND(D561*$P$10/12,2))</x:f>
      </x:c>
      <x:c r="F561" s="88" t="str">
        <x:f>IF(C561="","",MIN(D561+E561,$Q$10))</x:f>
      </x:c>
      <x:c r="G561" s="88" t="str">
        <x:f>IF(C561="","",MIN(MAX(0,D561+E561-F561),SUMIFS(SONDERZAHLUNGEN!$E$9:$E$128,SONDERZAHLUNGEN!$B$9:$B$128,C561,SONDERZAHLUNGEN!$C$9:$C$128,A561,SONDERZAHLUNGEN!$H$9:$H$128,"OK",SONDERZAHLUNGEN!$F$9:$F$128,"Ja")))</x:f>
      </x:c>
      <x:c r="H561" s="88" t="str">
        <x:f>IF(C561="","",MIN(MAX(0,D561+E561-F561-G561),MAX(0,IF(MONATSBUDGET!$C$35="",0,MONATSBUDGET!$C$35)-SUM(F560:F579)-SUM(H560:H560))))</x:f>
      </x:c>
      <x:c r="I561" s="88" t="str">
        <x:f>IF(C561="","",MAX(0,ROUND(D561+E561-F561-G561-H561,2)))</x:f>
      </x:c>
      <x:c r="J561" s="88" t="str">
        <x:f>IF(C561="","",F561+G561+H561)</x:f>
      </x:c>
      <x:c r="K561" s="88" t="str">
        <x:f>IF(C561="","",MAX(0,SUMIFS(SONDERZAHLUNGEN!$E$9:$E$128,SONDERZAHLUNGEN!$B$9:$B$128,C561,SONDERZAHLUNGEN!$C$9:$C$128,A561,SONDERZAHLUNGEN!$H$9:$H$128,"OK",SONDERZAHLUNGEN!$F$9:$F$128,"Ja")-G561))</x:f>
      </x:c>
    </x:row>
    <x:row r="562" ht="19" customHeight="1">
      <x:c r="A562" s="90" t="n">
        <x:f>MONATSBUDGET!$A$35</x:f>
        <x:v>47058</x:v>
      </x:c>
      <x:c r="B562" t="n">
        <x:f>3</x:f>
        <x:v>3</x:v>
      </x:c>
      <x:c r="C562" t="str">
        <x:f>IF($N$11="","",$N$11)</x:f>
      </x:c>
      <x:c r="D562" s="88" t="str">
        <x:f>IF(C562="","",I542)</x:f>
      </x:c>
      <x:c r="E562" s="88" t="str">
        <x:f>IF(C562="","",ROUND(D562*$P$11/12,2))</x:f>
      </x:c>
      <x:c r="F562" s="88" t="str">
        <x:f>IF(C562="","",MIN(D562+E562,$Q$11))</x:f>
      </x:c>
      <x:c r="G562" s="88" t="str">
        <x:f>IF(C562="","",MIN(MAX(0,D562+E562-F562),SUMIFS(SONDERZAHLUNGEN!$E$9:$E$128,SONDERZAHLUNGEN!$B$9:$B$128,C562,SONDERZAHLUNGEN!$C$9:$C$128,A562,SONDERZAHLUNGEN!$H$9:$H$128,"OK",SONDERZAHLUNGEN!$F$9:$F$128,"Ja")))</x:f>
      </x:c>
      <x:c r="H562" s="88" t="str">
        <x:f>IF(C562="","",MIN(MAX(0,D562+E562-F562-G562),MAX(0,IF(MONATSBUDGET!$C$35="",0,MONATSBUDGET!$C$35)-SUM(F560:F579)-SUM(H560:H561))))</x:f>
      </x:c>
      <x:c r="I562" s="88" t="str">
        <x:f>IF(C562="","",MAX(0,ROUND(D562+E562-F562-G562-H562,2)))</x:f>
      </x:c>
      <x:c r="J562" s="88" t="str">
        <x:f>IF(C562="","",F562+G562+H562)</x:f>
      </x:c>
      <x:c r="K562" s="88" t="str">
        <x:f>IF(C562="","",MAX(0,SUMIFS(SONDERZAHLUNGEN!$E$9:$E$128,SONDERZAHLUNGEN!$B$9:$B$128,C562,SONDERZAHLUNGEN!$C$9:$C$128,A562,SONDERZAHLUNGEN!$H$9:$H$128,"OK",SONDERZAHLUNGEN!$F$9:$F$128,"Ja")-G562))</x:f>
      </x:c>
    </x:row>
    <x:row r="563" ht="19" customHeight="1">
      <x:c r="A563" s="90" t="n">
        <x:f>MONATSBUDGET!$A$35</x:f>
        <x:v>47058</x:v>
      </x:c>
      <x:c r="B563" t="n">
        <x:f>4</x:f>
        <x:v>4</x:v>
      </x:c>
      <x:c r="C563" t="str">
        <x:f>IF($N$12="","",$N$12)</x:f>
      </x:c>
      <x:c r="D563" s="88" t="str">
        <x:f>IF(C563="","",I543)</x:f>
      </x:c>
      <x:c r="E563" s="88" t="str">
        <x:f>IF(C563="","",ROUND(D563*$P$12/12,2))</x:f>
      </x:c>
      <x:c r="F563" s="88" t="str">
        <x:f>IF(C563="","",MIN(D563+E563,$Q$12))</x:f>
      </x:c>
      <x:c r="G563" s="88" t="str">
        <x:f>IF(C563="","",MIN(MAX(0,D563+E563-F563),SUMIFS(SONDERZAHLUNGEN!$E$9:$E$128,SONDERZAHLUNGEN!$B$9:$B$128,C563,SONDERZAHLUNGEN!$C$9:$C$128,A563,SONDERZAHLUNGEN!$H$9:$H$128,"OK",SONDERZAHLUNGEN!$F$9:$F$128,"Ja")))</x:f>
      </x:c>
      <x:c r="H563" s="88" t="str">
        <x:f>IF(C563="","",MIN(MAX(0,D563+E563-F563-G563),MAX(0,IF(MONATSBUDGET!$C$35="",0,MONATSBUDGET!$C$35)-SUM(F560:F579)-SUM(H560:H562))))</x:f>
      </x:c>
      <x:c r="I563" s="88" t="str">
        <x:f>IF(C563="","",MAX(0,ROUND(D563+E563-F563-G563-H563,2)))</x:f>
      </x:c>
      <x:c r="J563" s="88" t="str">
        <x:f>IF(C563="","",F563+G563+H563)</x:f>
      </x:c>
      <x:c r="K563" s="88" t="str">
        <x:f>IF(C563="","",MAX(0,SUMIFS(SONDERZAHLUNGEN!$E$9:$E$128,SONDERZAHLUNGEN!$B$9:$B$128,C563,SONDERZAHLUNGEN!$C$9:$C$128,A563,SONDERZAHLUNGEN!$H$9:$H$128,"OK",SONDERZAHLUNGEN!$F$9:$F$128,"Ja")-G563))</x:f>
      </x:c>
    </x:row>
    <x:row r="564" ht="19" customHeight="1">
      <x:c r="A564" s="90" t="n">
        <x:f>MONATSBUDGET!$A$35</x:f>
        <x:v>47058</x:v>
      </x:c>
      <x:c r="B564" t="n">
        <x:f>5</x:f>
        <x:v>5</x:v>
      </x:c>
      <x:c r="C564" t="str">
        <x:f>IF($N$13="","",$N$13)</x:f>
      </x:c>
      <x:c r="D564" s="88" t="str">
        <x:f>IF(C564="","",I544)</x:f>
      </x:c>
      <x:c r="E564" s="88" t="str">
        <x:f>IF(C564="","",ROUND(D564*$P$13/12,2))</x:f>
      </x:c>
      <x:c r="F564" s="88" t="str">
        <x:f>IF(C564="","",MIN(D564+E564,$Q$13))</x:f>
      </x:c>
      <x:c r="G564" s="88" t="str">
        <x:f>IF(C564="","",MIN(MAX(0,D564+E564-F564),SUMIFS(SONDERZAHLUNGEN!$E$9:$E$128,SONDERZAHLUNGEN!$B$9:$B$128,C564,SONDERZAHLUNGEN!$C$9:$C$128,A564,SONDERZAHLUNGEN!$H$9:$H$128,"OK",SONDERZAHLUNGEN!$F$9:$F$128,"Ja")))</x:f>
      </x:c>
      <x:c r="H564" s="88" t="str">
        <x:f>IF(C564="","",MIN(MAX(0,D564+E564-F564-G564),MAX(0,IF(MONATSBUDGET!$C$35="",0,MONATSBUDGET!$C$35)-SUM(F560:F579)-SUM(H560:H563))))</x:f>
      </x:c>
      <x:c r="I564" s="88" t="str">
        <x:f>IF(C564="","",MAX(0,ROUND(D564+E564-F564-G564-H564,2)))</x:f>
      </x:c>
      <x:c r="J564" s="88" t="str">
        <x:f>IF(C564="","",F564+G564+H564)</x:f>
      </x:c>
      <x:c r="K564" s="88" t="str">
        <x:f>IF(C564="","",MAX(0,SUMIFS(SONDERZAHLUNGEN!$E$9:$E$128,SONDERZAHLUNGEN!$B$9:$B$128,C564,SONDERZAHLUNGEN!$C$9:$C$128,A564,SONDERZAHLUNGEN!$H$9:$H$128,"OK",SONDERZAHLUNGEN!$F$9:$F$128,"Ja")-G564))</x:f>
      </x:c>
    </x:row>
    <x:row r="565" ht="19" customHeight="1">
      <x:c r="A565" s="90" t="n">
        <x:f>MONATSBUDGET!$A$35</x:f>
        <x:v>47058</x:v>
      </x:c>
      <x:c r="B565" t="n">
        <x:f>6</x:f>
        <x:v>6</x:v>
      </x:c>
      <x:c r="C565" t="str">
        <x:f>IF($N$14="","",$N$14)</x:f>
      </x:c>
      <x:c r="D565" s="88" t="str">
        <x:f>IF(C565="","",I545)</x:f>
      </x:c>
      <x:c r="E565" s="88" t="str">
        <x:f>IF(C565="","",ROUND(D565*$P$14/12,2))</x:f>
      </x:c>
      <x:c r="F565" s="88" t="str">
        <x:f>IF(C565="","",MIN(D565+E565,$Q$14))</x:f>
      </x:c>
      <x:c r="G565" s="88" t="str">
        <x:f>IF(C565="","",MIN(MAX(0,D565+E565-F565),SUMIFS(SONDERZAHLUNGEN!$E$9:$E$128,SONDERZAHLUNGEN!$B$9:$B$128,C565,SONDERZAHLUNGEN!$C$9:$C$128,A565,SONDERZAHLUNGEN!$H$9:$H$128,"OK",SONDERZAHLUNGEN!$F$9:$F$128,"Ja")))</x:f>
      </x:c>
      <x:c r="H565" s="88" t="str">
        <x:f>IF(C565="","",MIN(MAX(0,D565+E565-F565-G565),MAX(0,IF(MONATSBUDGET!$C$35="",0,MONATSBUDGET!$C$35)-SUM(F560:F579)-SUM(H560:H564))))</x:f>
      </x:c>
      <x:c r="I565" s="88" t="str">
        <x:f>IF(C565="","",MAX(0,ROUND(D565+E565-F565-G565-H565,2)))</x:f>
      </x:c>
      <x:c r="J565" s="88" t="str">
        <x:f>IF(C565="","",F565+G565+H565)</x:f>
      </x:c>
      <x:c r="K565" s="88" t="str">
        <x:f>IF(C565="","",MAX(0,SUMIFS(SONDERZAHLUNGEN!$E$9:$E$128,SONDERZAHLUNGEN!$B$9:$B$128,C565,SONDERZAHLUNGEN!$C$9:$C$128,A565,SONDERZAHLUNGEN!$H$9:$H$128,"OK",SONDERZAHLUNGEN!$F$9:$F$128,"Ja")-G565))</x:f>
      </x:c>
    </x:row>
    <x:row r="566" ht="19" customHeight="1">
      <x:c r="A566" s="90" t="n">
        <x:f>MONATSBUDGET!$A$35</x:f>
        <x:v>47058</x:v>
      </x:c>
      <x:c r="B566" t="n">
        <x:f>7</x:f>
        <x:v>7</x:v>
      </x:c>
      <x:c r="C566" t="str">
        <x:f>IF($N$15="","",$N$15)</x:f>
      </x:c>
      <x:c r="D566" s="88" t="str">
        <x:f>IF(C566="","",I546)</x:f>
      </x:c>
      <x:c r="E566" s="88" t="str">
        <x:f>IF(C566="","",ROUND(D566*$P$15/12,2))</x:f>
      </x:c>
      <x:c r="F566" s="88" t="str">
        <x:f>IF(C566="","",MIN(D566+E566,$Q$15))</x:f>
      </x:c>
      <x:c r="G566" s="88" t="str">
        <x:f>IF(C566="","",MIN(MAX(0,D566+E566-F566),SUMIFS(SONDERZAHLUNGEN!$E$9:$E$128,SONDERZAHLUNGEN!$B$9:$B$128,C566,SONDERZAHLUNGEN!$C$9:$C$128,A566,SONDERZAHLUNGEN!$H$9:$H$128,"OK",SONDERZAHLUNGEN!$F$9:$F$128,"Ja")))</x:f>
      </x:c>
      <x:c r="H566" s="88" t="str">
        <x:f>IF(C566="","",MIN(MAX(0,D566+E566-F566-G566),MAX(0,IF(MONATSBUDGET!$C$35="",0,MONATSBUDGET!$C$35)-SUM(F560:F579)-SUM(H560:H565))))</x:f>
      </x:c>
      <x:c r="I566" s="88" t="str">
        <x:f>IF(C566="","",MAX(0,ROUND(D566+E566-F566-G566-H566,2)))</x:f>
      </x:c>
      <x:c r="J566" s="88" t="str">
        <x:f>IF(C566="","",F566+G566+H566)</x:f>
      </x:c>
      <x:c r="K566" s="88" t="str">
        <x:f>IF(C566="","",MAX(0,SUMIFS(SONDERZAHLUNGEN!$E$9:$E$128,SONDERZAHLUNGEN!$B$9:$B$128,C566,SONDERZAHLUNGEN!$C$9:$C$128,A566,SONDERZAHLUNGEN!$H$9:$H$128,"OK",SONDERZAHLUNGEN!$F$9:$F$128,"Ja")-G566))</x:f>
      </x:c>
    </x:row>
    <x:row r="567" ht="19" customHeight="1">
      <x:c r="A567" s="90" t="n">
        <x:f>MONATSBUDGET!$A$35</x:f>
        <x:v>47058</x:v>
      </x:c>
      <x:c r="B567" t="n">
        <x:f>8</x:f>
        <x:v>8</x:v>
      </x:c>
      <x:c r="C567" t="str">
        <x:f>IF($N$16="","",$N$16)</x:f>
      </x:c>
      <x:c r="D567" s="88" t="str">
        <x:f>IF(C567="","",I547)</x:f>
      </x:c>
      <x:c r="E567" s="88" t="str">
        <x:f>IF(C567="","",ROUND(D567*$P$16/12,2))</x:f>
      </x:c>
      <x:c r="F567" s="88" t="str">
        <x:f>IF(C567="","",MIN(D567+E567,$Q$16))</x:f>
      </x:c>
      <x:c r="G567" s="88" t="str">
        <x:f>IF(C567="","",MIN(MAX(0,D567+E567-F567),SUMIFS(SONDERZAHLUNGEN!$E$9:$E$128,SONDERZAHLUNGEN!$B$9:$B$128,C567,SONDERZAHLUNGEN!$C$9:$C$128,A567,SONDERZAHLUNGEN!$H$9:$H$128,"OK",SONDERZAHLUNGEN!$F$9:$F$128,"Ja")))</x:f>
      </x:c>
      <x:c r="H567" s="88" t="str">
        <x:f>IF(C567="","",MIN(MAX(0,D567+E567-F567-G567),MAX(0,IF(MONATSBUDGET!$C$35="",0,MONATSBUDGET!$C$35)-SUM(F560:F579)-SUM(H560:H566))))</x:f>
      </x:c>
      <x:c r="I567" s="88" t="str">
        <x:f>IF(C567="","",MAX(0,ROUND(D567+E567-F567-G567-H567,2)))</x:f>
      </x:c>
      <x:c r="J567" s="88" t="str">
        <x:f>IF(C567="","",F567+G567+H567)</x:f>
      </x:c>
      <x:c r="K567" s="88" t="str">
        <x:f>IF(C567="","",MAX(0,SUMIFS(SONDERZAHLUNGEN!$E$9:$E$128,SONDERZAHLUNGEN!$B$9:$B$128,C567,SONDERZAHLUNGEN!$C$9:$C$128,A567,SONDERZAHLUNGEN!$H$9:$H$128,"OK",SONDERZAHLUNGEN!$F$9:$F$128,"Ja")-G567))</x:f>
      </x:c>
    </x:row>
    <x:row r="568" ht="19" customHeight="1">
      <x:c r="A568" s="90" t="n">
        <x:f>MONATSBUDGET!$A$35</x:f>
        <x:v>47058</x:v>
      </x:c>
      <x:c r="B568" t="n">
        <x:f>9</x:f>
        <x:v>9</x:v>
      </x:c>
      <x:c r="C568" t="str">
        <x:f>IF($N$17="","",$N$17)</x:f>
      </x:c>
      <x:c r="D568" s="88" t="str">
        <x:f>IF(C568="","",I548)</x:f>
      </x:c>
      <x:c r="E568" s="88" t="str">
        <x:f>IF(C568="","",ROUND(D568*$P$17/12,2))</x:f>
      </x:c>
      <x:c r="F568" s="88" t="str">
        <x:f>IF(C568="","",MIN(D568+E568,$Q$17))</x:f>
      </x:c>
      <x:c r="G568" s="88" t="str">
        <x:f>IF(C568="","",MIN(MAX(0,D568+E568-F568),SUMIFS(SONDERZAHLUNGEN!$E$9:$E$128,SONDERZAHLUNGEN!$B$9:$B$128,C568,SONDERZAHLUNGEN!$C$9:$C$128,A568,SONDERZAHLUNGEN!$H$9:$H$128,"OK",SONDERZAHLUNGEN!$F$9:$F$128,"Ja")))</x:f>
      </x:c>
      <x:c r="H568" s="88" t="str">
        <x:f>IF(C568="","",MIN(MAX(0,D568+E568-F568-G568),MAX(0,IF(MONATSBUDGET!$C$35="",0,MONATSBUDGET!$C$35)-SUM(F560:F579)-SUM(H560:H567))))</x:f>
      </x:c>
      <x:c r="I568" s="88" t="str">
        <x:f>IF(C568="","",MAX(0,ROUND(D568+E568-F568-G568-H568,2)))</x:f>
      </x:c>
      <x:c r="J568" s="88" t="str">
        <x:f>IF(C568="","",F568+G568+H568)</x:f>
      </x:c>
      <x:c r="K568" s="88" t="str">
        <x:f>IF(C568="","",MAX(0,SUMIFS(SONDERZAHLUNGEN!$E$9:$E$128,SONDERZAHLUNGEN!$B$9:$B$128,C568,SONDERZAHLUNGEN!$C$9:$C$128,A568,SONDERZAHLUNGEN!$H$9:$H$128,"OK",SONDERZAHLUNGEN!$F$9:$F$128,"Ja")-G568))</x:f>
      </x:c>
    </x:row>
    <x:row r="569" ht="19" customHeight="1">
      <x:c r="A569" s="90" t="n">
        <x:f>MONATSBUDGET!$A$35</x:f>
        <x:v>47058</x:v>
      </x:c>
      <x:c r="B569" t="n">
        <x:f>10</x:f>
        <x:v>10</x:v>
      </x:c>
      <x:c r="C569" t="str">
        <x:f>IF($N$18="","",$N$18)</x:f>
      </x:c>
      <x:c r="D569" s="88" t="str">
        <x:f>IF(C569="","",I549)</x:f>
      </x:c>
      <x:c r="E569" s="88" t="str">
        <x:f>IF(C569="","",ROUND(D569*$P$18/12,2))</x:f>
      </x:c>
      <x:c r="F569" s="88" t="str">
        <x:f>IF(C569="","",MIN(D569+E569,$Q$18))</x:f>
      </x:c>
      <x:c r="G569" s="88" t="str">
        <x:f>IF(C569="","",MIN(MAX(0,D569+E569-F569),SUMIFS(SONDERZAHLUNGEN!$E$9:$E$128,SONDERZAHLUNGEN!$B$9:$B$128,C569,SONDERZAHLUNGEN!$C$9:$C$128,A569,SONDERZAHLUNGEN!$H$9:$H$128,"OK",SONDERZAHLUNGEN!$F$9:$F$128,"Ja")))</x:f>
      </x:c>
      <x:c r="H569" s="88" t="str">
        <x:f>IF(C569="","",MIN(MAX(0,D569+E569-F569-G569),MAX(0,IF(MONATSBUDGET!$C$35="",0,MONATSBUDGET!$C$35)-SUM(F560:F579)-SUM(H560:H568))))</x:f>
      </x:c>
      <x:c r="I569" s="88" t="str">
        <x:f>IF(C569="","",MAX(0,ROUND(D569+E569-F569-G569-H569,2)))</x:f>
      </x:c>
      <x:c r="J569" s="88" t="str">
        <x:f>IF(C569="","",F569+G569+H569)</x:f>
      </x:c>
      <x:c r="K569" s="88" t="str">
        <x:f>IF(C569="","",MAX(0,SUMIFS(SONDERZAHLUNGEN!$E$9:$E$128,SONDERZAHLUNGEN!$B$9:$B$128,C569,SONDERZAHLUNGEN!$C$9:$C$128,A569,SONDERZAHLUNGEN!$H$9:$H$128,"OK",SONDERZAHLUNGEN!$F$9:$F$128,"Ja")-G569))</x:f>
      </x:c>
    </x:row>
    <x:row r="570" ht="19" customHeight="1">
      <x:c r="A570" s="90" t="n">
        <x:f>MONATSBUDGET!$A$35</x:f>
        <x:v>47058</x:v>
      </x:c>
      <x:c r="B570" t="n">
        <x:f>11</x:f>
        <x:v>11</x:v>
      </x:c>
      <x:c r="C570" t="str">
        <x:f>IF($N$19="","",$N$19)</x:f>
      </x:c>
      <x:c r="D570" s="88" t="str">
        <x:f>IF(C570="","",I550)</x:f>
      </x:c>
      <x:c r="E570" s="88" t="str">
        <x:f>IF(C570="","",ROUND(D570*$P$19/12,2))</x:f>
      </x:c>
      <x:c r="F570" s="88" t="str">
        <x:f>IF(C570="","",MIN(D570+E570,$Q$19))</x:f>
      </x:c>
      <x:c r="G570" s="88" t="str">
        <x:f>IF(C570="","",MIN(MAX(0,D570+E570-F570),SUMIFS(SONDERZAHLUNGEN!$E$9:$E$128,SONDERZAHLUNGEN!$B$9:$B$128,C570,SONDERZAHLUNGEN!$C$9:$C$128,A570,SONDERZAHLUNGEN!$H$9:$H$128,"OK",SONDERZAHLUNGEN!$F$9:$F$128,"Ja")))</x:f>
      </x:c>
      <x:c r="H570" s="88" t="str">
        <x:f>IF(C570="","",MIN(MAX(0,D570+E570-F570-G570),MAX(0,IF(MONATSBUDGET!$C$35="",0,MONATSBUDGET!$C$35)-SUM(F560:F579)-SUM(H560:H569))))</x:f>
      </x:c>
      <x:c r="I570" s="88" t="str">
        <x:f>IF(C570="","",MAX(0,ROUND(D570+E570-F570-G570-H570,2)))</x:f>
      </x:c>
      <x:c r="J570" s="88" t="str">
        <x:f>IF(C570="","",F570+G570+H570)</x:f>
      </x:c>
      <x:c r="K570" s="88" t="str">
        <x:f>IF(C570="","",MAX(0,SUMIFS(SONDERZAHLUNGEN!$E$9:$E$128,SONDERZAHLUNGEN!$B$9:$B$128,C570,SONDERZAHLUNGEN!$C$9:$C$128,A570,SONDERZAHLUNGEN!$H$9:$H$128,"OK",SONDERZAHLUNGEN!$F$9:$F$128,"Ja")-G570))</x:f>
      </x:c>
    </x:row>
    <x:row r="571" ht="19" customHeight="1">
      <x:c r="A571" s="90" t="n">
        <x:f>MONATSBUDGET!$A$35</x:f>
        <x:v>47058</x:v>
      </x:c>
      <x:c r="B571" t="n">
        <x:f>12</x:f>
        <x:v>12</x:v>
      </x:c>
      <x:c r="C571" t="str">
        <x:f>IF($N$20="","",$N$20)</x:f>
      </x:c>
      <x:c r="D571" s="88" t="str">
        <x:f>IF(C571="","",I551)</x:f>
      </x:c>
      <x:c r="E571" s="88" t="str">
        <x:f>IF(C571="","",ROUND(D571*$P$20/12,2))</x:f>
      </x:c>
      <x:c r="F571" s="88" t="str">
        <x:f>IF(C571="","",MIN(D571+E571,$Q$20))</x:f>
      </x:c>
      <x:c r="G571" s="88" t="str">
        <x:f>IF(C571="","",MIN(MAX(0,D571+E571-F571),SUMIFS(SONDERZAHLUNGEN!$E$9:$E$128,SONDERZAHLUNGEN!$B$9:$B$128,C571,SONDERZAHLUNGEN!$C$9:$C$128,A571,SONDERZAHLUNGEN!$H$9:$H$128,"OK",SONDERZAHLUNGEN!$F$9:$F$128,"Ja")))</x:f>
      </x:c>
      <x:c r="H571" s="88" t="str">
        <x:f>IF(C571="","",MIN(MAX(0,D571+E571-F571-G571),MAX(0,IF(MONATSBUDGET!$C$35="",0,MONATSBUDGET!$C$35)-SUM(F560:F579)-SUM(H560:H570))))</x:f>
      </x:c>
      <x:c r="I571" s="88" t="str">
        <x:f>IF(C571="","",MAX(0,ROUND(D571+E571-F571-G571-H571,2)))</x:f>
      </x:c>
      <x:c r="J571" s="88" t="str">
        <x:f>IF(C571="","",F571+G571+H571)</x:f>
      </x:c>
      <x:c r="K571" s="88" t="str">
        <x:f>IF(C571="","",MAX(0,SUMIFS(SONDERZAHLUNGEN!$E$9:$E$128,SONDERZAHLUNGEN!$B$9:$B$128,C571,SONDERZAHLUNGEN!$C$9:$C$128,A571,SONDERZAHLUNGEN!$H$9:$H$128,"OK",SONDERZAHLUNGEN!$F$9:$F$128,"Ja")-G571))</x:f>
      </x:c>
    </x:row>
    <x:row r="572" ht="19" customHeight="1">
      <x:c r="A572" s="90" t="n">
        <x:f>MONATSBUDGET!$A$35</x:f>
        <x:v>47058</x:v>
      </x:c>
      <x:c r="B572" t="n">
        <x:f>13</x:f>
        <x:v>13</x:v>
      </x:c>
      <x:c r="C572" t="str">
        <x:f>IF($N$21="","",$N$21)</x:f>
      </x:c>
      <x:c r="D572" s="88" t="str">
        <x:f>IF(C572="","",I552)</x:f>
      </x:c>
      <x:c r="E572" s="88" t="str">
        <x:f>IF(C572="","",ROUND(D572*$P$21/12,2))</x:f>
      </x:c>
      <x:c r="F572" s="88" t="str">
        <x:f>IF(C572="","",MIN(D572+E572,$Q$21))</x:f>
      </x:c>
      <x:c r="G572" s="88" t="str">
        <x:f>IF(C572="","",MIN(MAX(0,D572+E572-F572),SUMIFS(SONDERZAHLUNGEN!$E$9:$E$128,SONDERZAHLUNGEN!$B$9:$B$128,C572,SONDERZAHLUNGEN!$C$9:$C$128,A572,SONDERZAHLUNGEN!$H$9:$H$128,"OK",SONDERZAHLUNGEN!$F$9:$F$128,"Ja")))</x:f>
      </x:c>
      <x:c r="H572" s="88" t="str">
        <x:f>IF(C572="","",MIN(MAX(0,D572+E572-F572-G572),MAX(0,IF(MONATSBUDGET!$C$35="",0,MONATSBUDGET!$C$35)-SUM(F560:F579)-SUM(H560:H571))))</x:f>
      </x:c>
      <x:c r="I572" s="88" t="str">
        <x:f>IF(C572="","",MAX(0,ROUND(D572+E572-F572-G572-H572,2)))</x:f>
      </x:c>
      <x:c r="J572" s="88" t="str">
        <x:f>IF(C572="","",F572+G572+H572)</x:f>
      </x:c>
      <x:c r="K572" s="88" t="str">
        <x:f>IF(C572="","",MAX(0,SUMIFS(SONDERZAHLUNGEN!$E$9:$E$128,SONDERZAHLUNGEN!$B$9:$B$128,C572,SONDERZAHLUNGEN!$C$9:$C$128,A572,SONDERZAHLUNGEN!$H$9:$H$128,"OK",SONDERZAHLUNGEN!$F$9:$F$128,"Ja")-G572))</x:f>
      </x:c>
    </x:row>
    <x:row r="573" ht="19" customHeight="1">
      <x:c r="A573" s="90" t="n">
        <x:f>MONATSBUDGET!$A$35</x:f>
        <x:v>47058</x:v>
      </x:c>
      <x:c r="B573" t="n">
        <x:f>14</x:f>
        <x:v>14</x:v>
      </x:c>
      <x:c r="C573" t="str">
        <x:f>IF($N$22="","",$N$22)</x:f>
      </x:c>
      <x:c r="D573" s="88" t="str">
        <x:f>IF(C573="","",I553)</x:f>
      </x:c>
      <x:c r="E573" s="88" t="str">
        <x:f>IF(C573="","",ROUND(D573*$P$22/12,2))</x:f>
      </x:c>
      <x:c r="F573" s="88" t="str">
        <x:f>IF(C573="","",MIN(D573+E573,$Q$22))</x:f>
      </x:c>
      <x:c r="G573" s="88" t="str">
        <x:f>IF(C573="","",MIN(MAX(0,D573+E573-F573),SUMIFS(SONDERZAHLUNGEN!$E$9:$E$128,SONDERZAHLUNGEN!$B$9:$B$128,C573,SONDERZAHLUNGEN!$C$9:$C$128,A573,SONDERZAHLUNGEN!$H$9:$H$128,"OK",SONDERZAHLUNGEN!$F$9:$F$128,"Ja")))</x:f>
      </x:c>
      <x:c r="H573" s="88" t="str">
        <x:f>IF(C573="","",MIN(MAX(0,D573+E573-F573-G573),MAX(0,IF(MONATSBUDGET!$C$35="",0,MONATSBUDGET!$C$35)-SUM(F560:F579)-SUM(H560:H572))))</x:f>
      </x:c>
      <x:c r="I573" s="88" t="str">
        <x:f>IF(C573="","",MAX(0,ROUND(D573+E573-F573-G573-H573,2)))</x:f>
      </x:c>
      <x:c r="J573" s="88" t="str">
        <x:f>IF(C573="","",F573+G573+H573)</x:f>
      </x:c>
      <x:c r="K573" s="88" t="str">
        <x:f>IF(C573="","",MAX(0,SUMIFS(SONDERZAHLUNGEN!$E$9:$E$128,SONDERZAHLUNGEN!$B$9:$B$128,C573,SONDERZAHLUNGEN!$C$9:$C$128,A573,SONDERZAHLUNGEN!$H$9:$H$128,"OK",SONDERZAHLUNGEN!$F$9:$F$128,"Ja")-G573))</x:f>
      </x:c>
    </x:row>
    <x:row r="574" ht="19" customHeight="1">
      <x:c r="A574" s="90" t="n">
        <x:f>MONATSBUDGET!$A$35</x:f>
        <x:v>47058</x:v>
      </x:c>
      <x:c r="B574" t="n">
        <x:f>15</x:f>
        <x:v>15</x:v>
      </x:c>
      <x:c r="C574" t="str">
        <x:f>IF($N$23="","",$N$23)</x:f>
      </x:c>
      <x:c r="D574" s="88" t="str">
        <x:f>IF(C574="","",I554)</x:f>
      </x:c>
      <x:c r="E574" s="88" t="str">
        <x:f>IF(C574="","",ROUND(D574*$P$23/12,2))</x:f>
      </x:c>
      <x:c r="F574" s="88" t="str">
        <x:f>IF(C574="","",MIN(D574+E574,$Q$23))</x:f>
      </x:c>
      <x:c r="G574" s="88" t="str">
        <x:f>IF(C574="","",MIN(MAX(0,D574+E574-F574),SUMIFS(SONDERZAHLUNGEN!$E$9:$E$128,SONDERZAHLUNGEN!$B$9:$B$128,C574,SONDERZAHLUNGEN!$C$9:$C$128,A574,SONDERZAHLUNGEN!$H$9:$H$128,"OK",SONDERZAHLUNGEN!$F$9:$F$128,"Ja")))</x:f>
      </x:c>
      <x:c r="H574" s="88" t="str">
        <x:f>IF(C574="","",MIN(MAX(0,D574+E574-F574-G574),MAX(0,IF(MONATSBUDGET!$C$35="",0,MONATSBUDGET!$C$35)-SUM(F560:F579)-SUM(H560:H573))))</x:f>
      </x:c>
      <x:c r="I574" s="88" t="str">
        <x:f>IF(C574="","",MAX(0,ROUND(D574+E574-F574-G574-H574,2)))</x:f>
      </x:c>
      <x:c r="J574" s="88" t="str">
        <x:f>IF(C574="","",F574+G574+H574)</x:f>
      </x:c>
      <x:c r="K574" s="88" t="str">
        <x:f>IF(C574="","",MAX(0,SUMIFS(SONDERZAHLUNGEN!$E$9:$E$128,SONDERZAHLUNGEN!$B$9:$B$128,C574,SONDERZAHLUNGEN!$C$9:$C$128,A574,SONDERZAHLUNGEN!$H$9:$H$128,"OK",SONDERZAHLUNGEN!$F$9:$F$128,"Ja")-G574))</x:f>
      </x:c>
    </x:row>
    <x:row r="575" ht="19" customHeight="1">
      <x:c r="A575" s="90" t="n">
        <x:f>MONATSBUDGET!$A$35</x:f>
        <x:v>47058</x:v>
      </x:c>
      <x:c r="B575" t="n">
        <x:f>16</x:f>
        <x:v>16</x:v>
      </x:c>
      <x:c r="C575" t="str">
        <x:f>IF($N$24="","",$N$24)</x:f>
      </x:c>
      <x:c r="D575" s="88" t="str">
        <x:f>IF(C575="","",I555)</x:f>
      </x:c>
      <x:c r="E575" s="88" t="str">
        <x:f>IF(C575="","",ROUND(D575*$P$24/12,2))</x:f>
      </x:c>
      <x:c r="F575" s="88" t="str">
        <x:f>IF(C575="","",MIN(D575+E575,$Q$24))</x:f>
      </x:c>
      <x:c r="G575" s="88" t="str">
        <x:f>IF(C575="","",MIN(MAX(0,D575+E575-F575),SUMIFS(SONDERZAHLUNGEN!$E$9:$E$128,SONDERZAHLUNGEN!$B$9:$B$128,C575,SONDERZAHLUNGEN!$C$9:$C$128,A575,SONDERZAHLUNGEN!$H$9:$H$128,"OK",SONDERZAHLUNGEN!$F$9:$F$128,"Ja")))</x:f>
      </x:c>
      <x:c r="H575" s="88" t="str">
        <x:f>IF(C575="","",MIN(MAX(0,D575+E575-F575-G575),MAX(0,IF(MONATSBUDGET!$C$35="",0,MONATSBUDGET!$C$35)-SUM(F560:F579)-SUM(H560:H574))))</x:f>
      </x:c>
      <x:c r="I575" s="88" t="str">
        <x:f>IF(C575="","",MAX(0,ROUND(D575+E575-F575-G575-H575,2)))</x:f>
      </x:c>
      <x:c r="J575" s="88" t="str">
        <x:f>IF(C575="","",F575+G575+H575)</x:f>
      </x:c>
      <x:c r="K575" s="88" t="str">
        <x:f>IF(C575="","",MAX(0,SUMIFS(SONDERZAHLUNGEN!$E$9:$E$128,SONDERZAHLUNGEN!$B$9:$B$128,C575,SONDERZAHLUNGEN!$C$9:$C$128,A575,SONDERZAHLUNGEN!$H$9:$H$128,"OK",SONDERZAHLUNGEN!$F$9:$F$128,"Ja")-G575))</x:f>
      </x:c>
    </x:row>
    <x:row r="576" ht="19" customHeight="1">
      <x:c r="A576" s="90" t="n">
        <x:f>MONATSBUDGET!$A$35</x:f>
        <x:v>47058</x:v>
      </x:c>
      <x:c r="B576" t="n">
        <x:f>17</x:f>
        <x:v>17</x:v>
      </x:c>
      <x:c r="C576" t="str">
        <x:f>IF($N$25="","",$N$25)</x:f>
      </x:c>
      <x:c r="D576" s="88" t="str">
        <x:f>IF(C576="","",I556)</x:f>
      </x:c>
      <x:c r="E576" s="88" t="str">
        <x:f>IF(C576="","",ROUND(D576*$P$25/12,2))</x:f>
      </x:c>
      <x:c r="F576" s="88" t="str">
        <x:f>IF(C576="","",MIN(D576+E576,$Q$25))</x:f>
      </x:c>
      <x:c r="G576" s="88" t="str">
        <x:f>IF(C576="","",MIN(MAX(0,D576+E576-F576),SUMIFS(SONDERZAHLUNGEN!$E$9:$E$128,SONDERZAHLUNGEN!$B$9:$B$128,C576,SONDERZAHLUNGEN!$C$9:$C$128,A576,SONDERZAHLUNGEN!$H$9:$H$128,"OK",SONDERZAHLUNGEN!$F$9:$F$128,"Ja")))</x:f>
      </x:c>
      <x:c r="H576" s="88" t="str">
        <x:f>IF(C576="","",MIN(MAX(0,D576+E576-F576-G576),MAX(0,IF(MONATSBUDGET!$C$35="",0,MONATSBUDGET!$C$35)-SUM(F560:F579)-SUM(H560:H575))))</x:f>
      </x:c>
      <x:c r="I576" s="88" t="str">
        <x:f>IF(C576="","",MAX(0,ROUND(D576+E576-F576-G576-H576,2)))</x:f>
      </x:c>
      <x:c r="J576" s="88" t="str">
        <x:f>IF(C576="","",F576+G576+H576)</x:f>
      </x:c>
      <x:c r="K576" s="88" t="str">
        <x:f>IF(C576="","",MAX(0,SUMIFS(SONDERZAHLUNGEN!$E$9:$E$128,SONDERZAHLUNGEN!$B$9:$B$128,C576,SONDERZAHLUNGEN!$C$9:$C$128,A576,SONDERZAHLUNGEN!$H$9:$H$128,"OK",SONDERZAHLUNGEN!$F$9:$F$128,"Ja")-G576))</x:f>
      </x:c>
    </x:row>
    <x:row r="577" ht="19" customHeight="1">
      <x:c r="A577" s="90" t="n">
        <x:f>MONATSBUDGET!$A$35</x:f>
        <x:v>47058</x:v>
      </x:c>
      <x:c r="B577" t="n">
        <x:f>18</x:f>
        <x:v>18</x:v>
      </x:c>
      <x:c r="C577" t="str">
        <x:f>IF($N$26="","",$N$26)</x:f>
      </x:c>
      <x:c r="D577" s="88" t="str">
        <x:f>IF(C577="","",I557)</x:f>
      </x:c>
      <x:c r="E577" s="88" t="str">
        <x:f>IF(C577="","",ROUND(D577*$P$26/12,2))</x:f>
      </x:c>
      <x:c r="F577" s="88" t="str">
        <x:f>IF(C577="","",MIN(D577+E577,$Q$26))</x:f>
      </x:c>
      <x:c r="G577" s="88" t="str">
        <x:f>IF(C577="","",MIN(MAX(0,D577+E577-F577),SUMIFS(SONDERZAHLUNGEN!$E$9:$E$128,SONDERZAHLUNGEN!$B$9:$B$128,C577,SONDERZAHLUNGEN!$C$9:$C$128,A577,SONDERZAHLUNGEN!$H$9:$H$128,"OK",SONDERZAHLUNGEN!$F$9:$F$128,"Ja")))</x:f>
      </x:c>
      <x:c r="H577" s="88" t="str">
        <x:f>IF(C577="","",MIN(MAX(0,D577+E577-F577-G577),MAX(0,IF(MONATSBUDGET!$C$35="",0,MONATSBUDGET!$C$35)-SUM(F560:F579)-SUM(H560:H576))))</x:f>
      </x:c>
      <x:c r="I577" s="88" t="str">
        <x:f>IF(C577="","",MAX(0,ROUND(D577+E577-F577-G577-H577,2)))</x:f>
      </x:c>
      <x:c r="J577" s="88" t="str">
        <x:f>IF(C577="","",F577+G577+H577)</x:f>
      </x:c>
      <x:c r="K577" s="88" t="str">
        <x:f>IF(C577="","",MAX(0,SUMIFS(SONDERZAHLUNGEN!$E$9:$E$128,SONDERZAHLUNGEN!$B$9:$B$128,C577,SONDERZAHLUNGEN!$C$9:$C$128,A577,SONDERZAHLUNGEN!$H$9:$H$128,"OK",SONDERZAHLUNGEN!$F$9:$F$128,"Ja")-G577))</x:f>
      </x:c>
    </x:row>
    <x:row r="578" ht="19" customHeight="1">
      <x:c r="A578" s="90" t="n">
        <x:f>MONATSBUDGET!$A$35</x:f>
        <x:v>47058</x:v>
      </x:c>
      <x:c r="B578" t="n">
        <x:f>19</x:f>
        <x:v>19</x:v>
      </x:c>
      <x:c r="C578" t="str">
        <x:f>IF($N$27="","",$N$27)</x:f>
      </x:c>
      <x:c r="D578" s="88" t="str">
        <x:f>IF(C578="","",I558)</x:f>
      </x:c>
      <x:c r="E578" s="88" t="str">
        <x:f>IF(C578="","",ROUND(D578*$P$27/12,2))</x:f>
      </x:c>
      <x:c r="F578" s="88" t="str">
        <x:f>IF(C578="","",MIN(D578+E578,$Q$27))</x:f>
      </x:c>
      <x:c r="G578" s="88" t="str">
        <x:f>IF(C578="","",MIN(MAX(0,D578+E578-F578),SUMIFS(SONDERZAHLUNGEN!$E$9:$E$128,SONDERZAHLUNGEN!$B$9:$B$128,C578,SONDERZAHLUNGEN!$C$9:$C$128,A578,SONDERZAHLUNGEN!$H$9:$H$128,"OK",SONDERZAHLUNGEN!$F$9:$F$128,"Ja")))</x:f>
      </x:c>
      <x:c r="H578" s="88" t="str">
        <x:f>IF(C578="","",MIN(MAX(0,D578+E578-F578-G578),MAX(0,IF(MONATSBUDGET!$C$35="",0,MONATSBUDGET!$C$35)-SUM(F560:F579)-SUM(H560:H577))))</x:f>
      </x:c>
      <x:c r="I578" s="88" t="str">
        <x:f>IF(C578="","",MAX(0,ROUND(D578+E578-F578-G578-H578,2)))</x:f>
      </x:c>
      <x:c r="J578" s="88" t="str">
        <x:f>IF(C578="","",F578+G578+H578)</x:f>
      </x:c>
      <x:c r="K578" s="88" t="str">
        <x:f>IF(C578="","",MAX(0,SUMIFS(SONDERZAHLUNGEN!$E$9:$E$128,SONDERZAHLUNGEN!$B$9:$B$128,C578,SONDERZAHLUNGEN!$C$9:$C$128,A578,SONDERZAHLUNGEN!$H$9:$H$128,"OK",SONDERZAHLUNGEN!$F$9:$F$128,"Ja")-G578))</x:f>
      </x:c>
    </x:row>
    <x:row r="579" ht="19" customHeight="1">
      <x:c r="A579" s="90" t="n">
        <x:f>MONATSBUDGET!$A$35</x:f>
        <x:v>47058</x:v>
      </x:c>
      <x:c r="B579" t="n">
        <x:f>20</x:f>
        <x:v>20</x:v>
      </x:c>
      <x:c r="C579" t="str">
        <x:f>IF($N$28="","",$N$28)</x:f>
      </x:c>
      <x:c r="D579" s="88" t="str">
        <x:f>IF(C579="","",I559)</x:f>
      </x:c>
      <x:c r="E579" s="88" t="str">
        <x:f>IF(C579="","",ROUND(D579*$P$28/12,2))</x:f>
      </x:c>
      <x:c r="F579" s="88" t="str">
        <x:f>IF(C579="","",MIN(D579+E579,$Q$28))</x:f>
      </x:c>
      <x:c r="G579" s="88" t="str">
        <x:f>IF(C579="","",MIN(MAX(0,D579+E579-F579),SUMIFS(SONDERZAHLUNGEN!$E$9:$E$128,SONDERZAHLUNGEN!$B$9:$B$128,C579,SONDERZAHLUNGEN!$C$9:$C$128,A579,SONDERZAHLUNGEN!$H$9:$H$128,"OK",SONDERZAHLUNGEN!$F$9:$F$128,"Ja")))</x:f>
      </x:c>
      <x:c r="H579" s="88" t="str">
        <x:f>IF(C579="","",MIN(MAX(0,D579+E579-F579-G579),MAX(0,IF(MONATSBUDGET!$C$35="",0,MONATSBUDGET!$C$35)-SUM(F560:F579)-SUM(H560:H578))))</x:f>
      </x:c>
      <x:c r="I579" s="88" t="str">
        <x:f>IF(C579="","",MAX(0,ROUND(D579+E579-F579-G579-H579,2)))</x:f>
      </x:c>
      <x:c r="J579" s="88" t="str">
        <x:f>IF(C579="","",F579+G579+H579)</x:f>
      </x:c>
      <x:c r="K579" s="88" t="str">
        <x:f>IF(C579="","",MAX(0,SUMIFS(SONDERZAHLUNGEN!$E$9:$E$128,SONDERZAHLUNGEN!$B$9:$B$128,C579,SONDERZAHLUNGEN!$C$9:$C$128,A579,SONDERZAHLUNGEN!$H$9:$H$128,"OK",SONDERZAHLUNGEN!$F$9:$F$128,"Ja")-G579))</x:f>
      </x:c>
    </x:row>
    <x:row r="580" ht="19" customHeight="1">
      <x:c r="A580" s="90" t="n">
        <x:f>MONATSBUDGET!$A$36</x:f>
        <x:v>47088</x:v>
      </x:c>
      <x:c r="B580" t="n">
        <x:f>1</x:f>
        <x:v>1</x:v>
      </x:c>
      <x:c r="C580" t="str">
        <x:f>IF($N$9="","",$N$9)</x:f>
      </x:c>
      <x:c r="D580" s="88" t="str">
        <x:f>IF(C580="","",I560)</x:f>
      </x:c>
      <x:c r="E580" s="88" t="str">
        <x:f>IF(C580="","",ROUND(D580*$P$9/12,2))</x:f>
      </x:c>
      <x:c r="F580" s="88" t="str">
        <x:f>IF(C580="","",MIN(D580+E580,$Q$9))</x:f>
      </x:c>
      <x:c r="G580" s="88" t="str">
        <x:f>IF(C580="","",MIN(MAX(0,D580+E580-F580),SUMIFS(SONDERZAHLUNGEN!$E$9:$E$128,SONDERZAHLUNGEN!$B$9:$B$128,C580,SONDERZAHLUNGEN!$C$9:$C$128,A580,SONDERZAHLUNGEN!$H$9:$H$128,"OK",SONDERZAHLUNGEN!$F$9:$F$128,"Ja")))</x:f>
      </x:c>
      <x:c r="H580" s="88" t="str">
        <x:f>IF(C580="","",MIN(MAX(0,D580+E580-F580-G580),MAX(0,IF(MONATSBUDGET!$C$36="",0,MONATSBUDGET!$C$36)-SUM(F580:F599)-0)))</x:f>
      </x:c>
      <x:c r="I580" s="88" t="str">
        <x:f>IF(C580="","",MAX(0,ROUND(D580+E580-F580-G580-H580,2)))</x:f>
      </x:c>
      <x:c r="J580" s="88" t="str">
        <x:f>IF(C580="","",F580+G580+H580)</x:f>
      </x:c>
      <x:c r="K580" s="88" t="str">
        <x:f>IF(C580="","",MAX(0,SUMIFS(SONDERZAHLUNGEN!$E$9:$E$128,SONDERZAHLUNGEN!$B$9:$B$128,C580,SONDERZAHLUNGEN!$C$9:$C$128,A580,SONDERZAHLUNGEN!$H$9:$H$128,"OK",SONDERZAHLUNGEN!$F$9:$F$128,"Ja")-G580))</x:f>
      </x:c>
    </x:row>
    <x:row r="581" ht="19" customHeight="1">
      <x:c r="A581" s="90" t="n">
        <x:f>MONATSBUDGET!$A$36</x:f>
        <x:v>47088</x:v>
      </x:c>
      <x:c r="B581" t="n">
        <x:f>2</x:f>
        <x:v>2</x:v>
      </x:c>
      <x:c r="C581" t="str">
        <x:f>IF($N$10="","",$N$10)</x:f>
      </x:c>
      <x:c r="D581" s="88" t="str">
        <x:f>IF(C581="","",I561)</x:f>
      </x:c>
      <x:c r="E581" s="88" t="str">
        <x:f>IF(C581="","",ROUND(D581*$P$10/12,2))</x:f>
      </x:c>
      <x:c r="F581" s="88" t="str">
        <x:f>IF(C581="","",MIN(D581+E581,$Q$10))</x:f>
      </x:c>
      <x:c r="G581" s="88" t="str">
        <x:f>IF(C581="","",MIN(MAX(0,D581+E581-F581),SUMIFS(SONDERZAHLUNGEN!$E$9:$E$128,SONDERZAHLUNGEN!$B$9:$B$128,C581,SONDERZAHLUNGEN!$C$9:$C$128,A581,SONDERZAHLUNGEN!$H$9:$H$128,"OK",SONDERZAHLUNGEN!$F$9:$F$128,"Ja")))</x:f>
      </x:c>
      <x:c r="H581" s="88" t="str">
        <x:f>IF(C581="","",MIN(MAX(0,D581+E581-F581-G581),MAX(0,IF(MONATSBUDGET!$C$36="",0,MONATSBUDGET!$C$36)-SUM(F580:F599)-SUM(H580:H580))))</x:f>
      </x:c>
      <x:c r="I581" s="88" t="str">
        <x:f>IF(C581="","",MAX(0,ROUND(D581+E581-F581-G581-H581,2)))</x:f>
      </x:c>
      <x:c r="J581" s="88" t="str">
        <x:f>IF(C581="","",F581+G581+H581)</x:f>
      </x:c>
      <x:c r="K581" s="88" t="str">
        <x:f>IF(C581="","",MAX(0,SUMIFS(SONDERZAHLUNGEN!$E$9:$E$128,SONDERZAHLUNGEN!$B$9:$B$128,C581,SONDERZAHLUNGEN!$C$9:$C$128,A581,SONDERZAHLUNGEN!$H$9:$H$128,"OK",SONDERZAHLUNGEN!$F$9:$F$128,"Ja")-G581))</x:f>
      </x:c>
    </x:row>
    <x:row r="582" ht="19" customHeight="1">
      <x:c r="A582" s="90" t="n">
        <x:f>MONATSBUDGET!$A$36</x:f>
        <x:v>47088</x:v>
      </x:c>
      <x:c r="B582" t="n">
        <x:f>3</x:f>
        <x:v>3</x:v>
      </x:c>
      <x:c r="C582" t="str">
        <x:f>IF($N$11="","",$N$11)</x:f>
      </x:c>
      <x:c r="D582" s="88" t="str">
        <x:f>IF(C582="","",I562)</x:f>
      </x:c>
      <x:c r="E582" s="88" t="str">
        <x:f>IF(C582="","",ROUND(D582*$P$11/12,2))</x:f>
      </x:c>
      <x:c r="F582" s="88" t="str">
        <x:f>IF(C582="","",MIN(D582+E582,$Q$11))</x:f>
      </x:c>
      <x:c r="G582" s="88" t="str">
        <x:f>IF(C582="","",MIN(MAX(0,D582+E582-F582),SUMIFS(SONDERZAHLUNGEN!$E$9:$E$128,SONDERZAHLUNGEN!$B$9:$B$128,C582,SONDERZAHLUNGEN!$C$9:$C$128,A582,SONDERZAHLUNGEN!$H$9:$H$128,"OK",SONDERZAHLUNGEN!$F$9:$F$128,"Ja")))</x:f>
      </x:c>
      <x:c r="H582" s="88" t="str">
        <x:f>IF(C582="","",MIN(MAX(0,D582+E582-F582-G582),MAX(0,IF(MONATSBUDGET!$C$36="",0,MONATSBUDGET!$C$36)-SUM(F580:F599)-SUM(H580:H581))))</x:f>
      </x:c>
      <x:c r="I582" s="88" t="str">
        <x:f>IF(C582="","",MAX(0,ROUND(D582+E582-F582-G582-H582,2)))</x:f>
      </x:c>
      <x:c r="J582" s="88" t="str">
        <x:f>IF(C582="","",F582+G582+H582)</x:f>
      </x:c>
      <x:c r="K582" s="88" t="str">
        <x:f>IF(C582="","",MAX(0,SUMIFS(SONDERZAHLUNGEN!$E$9:$E$128,SONDERZAHLUNGEN!$B$9:$B$128,C582,SONDERZAHLUNGEN!$C$9:$C$128,A582,SONDERZAHLUNGEN!$H$9:$H$128,"OK",SONDERZAHLUNGEN!$F$9:$F$128,"Ja")-G582))</x:f>
      </x:c>
    </x:row>
    <x:row r="583" ht="19" customHeight="1">
      <x:c r="A583" s="90" t="n">
        <x:f>MONATSBUDGET!$A$36</x:f>
        <x:v>47088</x:v>
      </x:c>
      <x:c r="B583" t="n">
        <x:f>4</x:f>
        <x:v>4</x:v>
      </x:c>
      <x:c r="C583" t="str">
        <x:f>IF($N$12="","",$N$12)</x:f>
      </x:c>
      <x:c r="D583" s="88" t="str">
        <x:f>IF(C583="","",I563)</x:f>
      </x:c>
      <x:c r="E583" s="88" t="str">
        <x:f>IF(C583="","",ROUND(D583*$P$12/12,2))</x:f>
      </x:c>
      <x:c r="F583" s="88" t="str">
        <x:f>IF(C583="","",MIN(D583+E583,$Q$12))</x:f>
      </x:c>
      <x:c r="G583" s="88" t="str">
        <x:f>IF(C583="","",MIN(MAX(0,D583+E583-F583),SUMIFS(SONDERZAHLUNGEN!$E$9:$E$128,SONDERZAHLUNGEN!$B$9:$B$128,C583,SONDERZAHLUNGEN!$C$9:$C$128,A583,SONDERZAHLUNGEN!$H$9:$H$128,"OK",SONDERZAHLUNGEN!$F$9:$F$128,"Ja")))</x:f>
      </x:c>
      <x:c r="H583" s="88" t="str">
        <x:f>IF(C583="","",MIN(MAX(0,D583+E583-F583-G583),MAX(0,IF(MONATSBUDGET!$C$36="",0,MONATSBUDGET!$C$36)-SUM(F580:F599)-SUM(H580:H582))))</x:f>
      </x:c>
      <x:c r="I583" s="88" t="str">
        <x:f>IF(C583="","",MAX(0,ROUND(D583+E583-F583-G583-H583,2)))</x:f>
      </x:c>
      <x:c r="J583" s="88" t="str">
        <x:f>IF(C583="","",F583+G583+H583)</x:f>
      </x:c>
      <x:c r="K583" s="88" t="str">
        <x:f>IF(C583="","",MAX(0,SUMIFS(SONDERZAHLUNGEN!$E$9:$E$128,SONDERZAHLUNGEN!$B$9:$B$128,C583,SONDERZAHLUNGEN!$C$9:$C$128,A583,SONDERZAHLUNGEN!$H$9:$H$128,"OK",SONDERZAHLUNGEN!$F$9:$F$128,"Ja")-G583))</x:f>
      </x:c>
    </x:row>
    <x:row r="584" ht="19" customHeight="1">
      <x:c r="A584" s="90" t="n">
        <x:f>MONATSBUDGET!$A$36</x:f>
        <x:v>47088</x:v>
      </x:c>
      <x:c r="B584" t="n">
        <x:f>5</x:f>
        <x:v>5</x:v>
      </x:c>
      <x:c r="C584" t="str">
        <x:f>IF($N$13="","",$N$13)</x:f>
      </x:c>
      <x:c r="D584" s="88" t="str">
        <x:f>IF(C584="","",I564)</x:f>
      </x:c>
      <x:c r="E584" s="88" t="str">
        <x:f>IF(C584="","",ROUND(D584*$P$13/12,2))</x:f>
      </x:c>
      <x:c r="F584" s="88" t="str">
        <x:f>IF(C584="","",MIN(D584+E584,$Q$13))</x:f>
      </x:c>
      <x:c r="G584" s="88" t="str">
        <x:f>IF(C584="","",MIN(MAX(0,D584+E584-F584),SUMIFS(SONDERZAHLUNGEN!$E$9:$E$128,SONDERZAHLUNGEN!$B$9:$B$128,C584,SONDERZAHLUNGEN!$C$9:$C$128,A584,SONDERZAHLUNGEN!$H$9:$H$128,"OK",SONDERZAHLUNGEN!$F$9:$F$128,"Ja")))</x:f>
      </x:c>
      <x:c r="H584" s="88" t="str">
        <x:f>IF(C584="","",MIN(MAX(0,D584+E584-F584-G584),MAX(0,IF(MONATSBUDGET!$C$36="",0,MONATSBUDGET!$C$36)-SUM(F580:F599)-SUM(H580:H583))))</x:f>
      </x:c>
      <x:c r="I584" s="88" t="str">
        <x:f>IF(C584="","",MAX(0,ROUND(D584+E584-F584-G584-H584,2)))</x:f>
      </x:c>
      <x:c r="J584" s="88" t="str">
        <x:f>IF(C584="","",F584+G584+H584)</x:f>
      </x:c>
      <x:c r="K584" s="88" t="str">
        <x:f>IF(C584="","",MAX(0,SUMIFS(SONDERZAHLUNGEN!$E$9:$E$128,SONDERZAHLUNGEN!$B$9:$B$128,C584,SONDERZAHLUNGEN!$C$9:$C$128,A584,SONDERZAHLUNGEN!$H$9:$H$128,"OK",SONDERZAHLUNGEN!$F$9:$F$128,"Ja")-G584))</x:f>
      </x:c>
    </x:row>
    <x:row r="585" ht="19" customHeight="1">
      <x:c r="A585" s="90" t="n">
        <x:f>MONATSBUDGET!$A$36</x:f>
        <x:v>47088</x:v>
      </x:c>
      <x:c r="B585" t="n">
        <x:f>6</x:f>
        <x:v>6</x:v>
      </x:c>
      <x:c r="C585" t="str">
        <x:f>IF($N$14="","",$N$14)</x:f>
      </x:c>
      <x:c r="D585" s="88" t="str">
        <x:f>IF(C585="","",I565)</x:f>
      </x:c>
      <x:c r="E585" s="88" t="str">
        <x:f>IF(C585="","",ROUND(D585*$P$14/12,2))</x:f>
      </x:c>
      <x:c r="F585" s="88" t="str">
        <x:f>IF(C585="","",MIN(D585+E585,$Q$14))</x:f>
      </x:c>
      <x:c r="G585" s="88" t="str">
        <x:f>IF(C585="","",MIN(MAX(0,D585+E585-F585),SUMIFS(SONDERZAHLUNGEN!$E$9:$E$128,SONDERZAHLUNGEN!$B$9:$B$128,C585,SONDERZAHLUNGEN!$C$9:$C$128,A585,SONDERZAHLUNGEN!$H$9:$H$128,"OK",SONDERZAHLUNGEN!$F$9:$F$128,"Ja")))</x:f>
      </x:c>
      <x:c r="H585" s="88" t="str">
        <x:f>IF(C585="","",MIN(MAX(0,D585+E585-F585-G585),MAX(0,IF(MONATSBUDGET!$C$36="",0,MONATSBUDGET!$C$36)-SUM(F580:F599)-SUM(H580:H584))))</x:f>
      </x:c>
      <x:c r="I585" s="88" t="str">
        <x:f>IF(C585="","",MAX(0,ROUND(D585+E585-F585-G585-H585,2)))</x:f>
      </x:c>
      <x:c r="J585" s="88" t="str">
        <x:f>IF(C585="","",F585+G585+H585)</x:f>
      </x:c>
      <x:c r="K585" s="88" t="str">
        <x:f>IF(C585="","",MAX(0,SUMIFS(SONDERZAHLUNGEN!$E$9:$E$128,SONDERZAHLUNGEN!$B$9:$B$128,C585,SONDERZAHLUNGEN!$C$9:$C$128,A585,SONDERZAHLUNGEN!$H$9:$H$128,"OK",SONDERZAHLUNGEN!$F$9:$F$128,"Ja")-G585))</x:f>
      </x:c>
    </x:row>
    <x:row r="586" ht="19" customHeight="1">
      <x:c r="A586" s="90" t="n">
        <x:f>MONATSBUDGET!$A$36</x:f>
        <x:v>47088</x:v>
      </x:c>
      <x:c r="B586" t="n">
        <x:f>7</x:f>
        <x:v>7</x:v>
      </x:c>
      <x:c r="C586" t="str">
        <x:f>IF($N$15="","",$N$15)</x:f>
      </x:c>
      <x:c r="D586" s="88" t="str">
        <x:f>IF(C586="","",I566)</x:f>
      </x:c>
      <x:c r="E586" s="88" t="str">
        <x:f>IF(C586="","",ROUND(D586*$P$15/12,2))</x:f>
      </x:c>
      <x:c r="F586" s="88" t="str">
        <x:f>IF(C586="","",MIN(D586+E586,$Q$15))</x:f>
      </x:c>
      <x:c r="G586" s="88" t="str">
        <x:f>IF(C586="","",MIN(MAX(0,D586+E586-F586),SUMIFS(SONDERZAHLUNGEN!$E$9:$E$128,SONDERZAHLUNGEN!$B$9:$B$128,C586,SONDERZAHLUNGEN!$C$9:$C$128,A586,SONDERZAHLUNGEN!$H$9:$H$128,"OK",SONDERZAHLUNGEN!$F$9:$F$128,"Ja")))</x:f>
      </x:c>
      <x:c r="H586" s="88" t="str">
        <x:f>IF(C586="","",MIN(MAX(0,D586+E586-F586-G586),MAX(0,IF(MONATSBUDGET!$C$36="",0,MONATSBUDGET!$C$36)-SUM(F580:F599)-SUM(H580:H585))))</x:f>
      </x:c>
      <x:c r="I586" s="88" t="str">
        <x:f>IF(C586="","",MAX(0,ROUND(D586+E586-F586-G586-H586,2)))</x:f>
      </x:c>
      <x:c r="J586" s="88" t="str">
        <x:f>IF(C586="","",F586+G586+H586)</x:f>
      </x:c>
      <x:c r="K586" s="88" t="str">
        <x:f>IF(C586="","",MAX(0,SUMIFS(SONDERZAHLUNGEN!$E$9:$E$128,SONDERZAHLUNGEN!$B$9:$B$128,C586,SONDERZAHLUNGEN!$C$9:$C$128,A586,SONDERZAHLUNGEN!$H$9:$H$128,"OK",SONDERZAHLUNGEN!$F$9:$F$128,"Ja")-G586))</x:f>
      </x:c>
    </x:row>
    <x:row r="587" ht="19" customHeight="1">
      <x:c r="A587" s="90" t="n">
        <x:f>MONATSBUDGET!$A$36</x:f>
        <x:v>47088</x:v>
      </x:c>
      <x:c r="B587" t="n">
        <x:f>8</x:f>
        <x:v>8</x:v>
      </x:c>
      <x:c r="C587" t="str">
        <x:f>IF($N$16="","",$N$16)</x:f>
      </x:c>
      <x:c r="D587" s="88" t="str">
        <x:f>IF(C587="","",I567)</x:f>
      </x:c>
      <x:c r="E587" s="88" t="str">
        <x:f>IF(C587="","",ROUND(D587*$P$16/12,2))</x:f>
      </x:c>
      <x:c r="F587" s="88" t="str">
        <x:f>IF(C587="","",MIN(D587+E587,$Q$16))</x:f>
      </x:c>
      <x:c r="G587" s="88" t="str">
        <x:f>IF(C587="","",MIN(MAX(0,D587+E587-F587),SUMIFS(SONDERZAHLUNGEN!$E$9:$E$128,SONDERZAHLUNGEN!$B$9:$B$128,C587,SONDERZAHLUNGEN!$C$9:$C$128,A587,SONDERZAHLUNGEN!$H$9:$H$128,"OK",SONDERZAHLUNGEN!$F$9:$F$128,"Ja")))</x:f>
      </x:c>
      <x:c r="H587" s="88" t="str">
        <x:f>IF(C587="","",MIN(MAX(0,D587+E587-F587-G587),MAX(0,IF(MONATSBUDGET!$C$36="",0,MONATSBUDGET!$C$36)-SUM(F580:F599)-SUM(H580:H586))))</x:f>
      </x:c>
      <x:c r="I587" s="88" t="str">
        <x:f>IF(C587="","",MAX(0,ROUND(D587+E587-F587-G587-H587,2)))</x:f>
      </x:c>
      <x:c r="J587" s="88" t="str">
        <x:f>IF(C587="","",F587+G587+H587)</x:f>
      </x:c>
      <x:c r="K587" s="88" t="str">
        <x:f>IF(C587="","",MAX(0,SUMIFS(SONDERZAHLUNGEN!$E$9:$E$128,SONDERZAHLUNGEN!$B$9:$B$128,C587,SONDERZAHLUNGEN!$C$9:$C$128,A587,SONDERZAHLUNGEN!$H$9:$H$128,"OK",SONDERZAHLUNGEN!$F$9:$F$128,"Ja")-G587))</x:f>
      </x:c>
    </x:row>
    <x:row r="588" ht="19" customHeight="1">
      <x:c r="A588" s="90" t="n">
        <x:f>MONATSBUDGET!$A$36</x:f>
        <x:v>47088</x:v>
      </x:c>
      <x:c r="B588" t="n">
        <x:f>9</x:f>
        <x:v>9</x:v>
      </x:c>
      <x:c r="C588" t="str">
        <x:f>IF($N$17="","",$N$17)</x:f>
      </x:c>
      <x:c r="D588" s="88" t="str">
        <x:f>IF(C588="","",I568)</x:f>
      </x:c>
      <x:c r="E588" s="88" t="str">
        <x:f>IF(C588="","",ROUND(D588*$P$17/12,2))</x:f>
      </x:c>
      <x:c r="F588" s="88" t="str">
        <x:f>IF(C588="","",MIN(D588+E588,$Q$17))</x:f>
      </x:c>
      <x:c r="G588" s="88" t="str">
        <x:f>IF(C588="","",MIN(MAX(0,D588+E588-F588),SUMIFS(SONDERZAHLUNGEN!$E$9:$E$128,SONDERZAHLUNGEN!$B$9:$B$128,C588,SONDERZAHLUNGEN!$C$9:$C$128,A588,SONDERZAHLUNGEN!$H$9:$H$128,"OK",SONDERZAHLUNGEN!$F$9:$F$128,"Ja")))</x:f>
      </x:c>
      <x:c r="H588" s="88" t="str">
        <x:f>IF(C588="","",MIN(MAX(0,D588+E588-F588-G588),MAX(0,IF(MONATSBUDGET!$C$36="",0,MONATSBUDGET!$C$36)-SUM(F580:F599)-SUM(H580:H587))))</x:f>
      </x:c>
      <x:c r="I588" s="88" t="str">
        <x:f>IF(C588="","",MAX(0,ROUND(D588+E588-F588-G588-H588,2)))</x:f>
      </x:c>
      <x:c r="J588" s="88" t="str">
        <x:f>IF(C588="","",F588+G588+H588)</x:f>
      </x:c>
      <x:c r="K588" s="88" t="str">
        <x:f>IF(C588="","",MAX(0,SUMIFS(SONDERZAHLUNGEN!$E$9:$E$128,SONDERZAHLUNGEN!$B$9:$B$128,C588,SONDERZAHLUNGEN!$C$9:$C$128,A588,SONDERZAHLUNGEN!$H$9:$H$128,"OK",SONDERZAHLUNGEN!$F$9:$F$128,"Ja")-G588))</x:f>
      </x:c>
    </x:row>
    <x:row r="589" ht="19" customHeight="1">
      <x:c r="A589" s="90" t="n">
        <x:f>MONATSBUDGET!$A$36</x:f>
        <x:v>47088</x:v>
      </x:c>
      <x:c r="B589" t="n">
        <x:f>10</x:f>
        <x:v>10</x:v>
      </x:c>
      <x:c r="C589" t="str">
        <x:f>IF($N$18="","",$N$18)</x:f>
      </x:c>
      <x:c r="D589" s="88" t="str">
        <x:f>IF(C589="","",I569)</x:f>
      </x:c>
      <x:c r="E589" s="88" t="str">
        <x:f>IF(C589="","",ROUND(D589*$P$18/12,2))</x:f>
      </x:c>
      <x:c r="F589" s="88" t="str">
        <x:f>IF(C589="","",MIN(D589+E589,$Q$18))</x:f>
      </x:c>
      <x:c r="G589" s="88" t="str">
        <x:f>IF(C589="","",MIN(MAX(0,D589+E589-F589),SUMIFS(SONDERZAHLUNGEN!$E$9:$E$128,SONDERZAHLUNGEN!$B$9:$B$128,C589,SONDERZAHLUNGEN!$C$9:$C$128,A589,SONDERZAHLUNGEN!$H$9:$H$128,"OK",SONDERZAHLUNGEN!$F$9:$F$128,"Ja")))</x:f>
      </x:c>
      <x:c r="H589" s="88" t="str">
        <x:f>IF(C589="","",MIN(MAX(0,D589+E589-F589-G589),MAX(0,IF(MONATSBUDGET!$C$36="",0,MONATSBUDGET!$C$36)-SUM(F580:F599)-SUM(H580:H588))))</x:f>
      </x:c>
      <x:c r="I589" s="88" t="str">
        <x:f>IF(C589="","",MAX(0,ROUND(D589+E589-F589-G589-H589,2)))</x:f>
      </x:c>
      <x:c r="J589" s="88" t="str">
        <x:f>IF(C589="","",F589+G589+H589)</x:f>
      </x:c>
      <x:c r="K589" s="88" t="str">
        <x:f>IF(C589="","",MAX(0,SUMIFS(SONDERZAHLUNGEN!$E$9:$E$128,SONDERZAHLUNGEN!$B$9:$B$128,C589,SONDERZAHLUNGEN!$C$9:$C$128,A589,SONDERZAHLUNGEN!$H$9:$H$128,"OK",SONDERZAHLUNGEN!$F$9:$F$128,"Ja")-G589))</x:f>
      </x:c>
    </x:row>
    <x:row r="590" ht="19" customHeight="1">
      <x:c r="A590" s="90" t="n">
        <x:f>MONATSBUDGET!$A$36</x:f>
        <x:v>47088</x:v>
      </x:c>
      <x:c r="B590" t="n">
        <x:f>11</x:f>
        <x:v>11</x:v>
      </x:c>
      <x:c r="C590" t="str">
        <x:f>IF($N$19="","",$N$19)</x:f>
      </x:c>
      <x:c r="D590" s="88" t="str">
        <x:f>IF(C590="","",I570)</x:f>
      </x:c>
      <x:c r="E590" s="88" t="str">
        <x:f>IF(C590="","",ROUND(D590*$P$19/12,2))</x:f>
      </x:c>
      <x:c r="F590" s="88" t="str">
        <x:f>IF(C590="","",MIN(D590+E590,$Q$19))</x:f>
      </x:c>
      <x:c r="G590" s="88" t="str">
        <x:f>IF(C590="","",MIN(MAX(0,D590+E590-F590),SUMIFS(SONDERZAHLUNGEN!$E$9:$E$128,SONDERZAHLUNGEN!$B$9:$B$128,C590,SONDERZAHLUNGEN!$C$9:$C$128,A590,SONDERZAHLUNGEN!$H$9:$H$128,"OK",SONDERZAHLUNGEN!$F$9:$F$128,"Ja")))</x:f>
      </x:c>
      <x:c r="H590" s="88" t="str">
        <x:f>IF(C590="","",MIN(MAX(0,D590+E590-F590-G590),MAX(0,IF(MONATSBUDGET!$C$36="",0,MONATSBUDGET!$C$36)-SUM(F580:F599)-SUM(H580:H589))))</x:f>
      </x:c>
      <x:c r="I590" s="88" t="str">
        <x:f>IF(C590="","",MAX(0,ROUND(D590+E590-F590-G590-H590,2)))</x:f>
      </x:c>
      <x:c r="J590" s="88" t="str">
        <x:f>IF(C590="","",F590+G590+H590)</x:f>
      </x:c>
      <x:c r="K590" s="88" t="str">
        <x:f>IF(C590="","",MAX(0,SUMIFS(SONDERZAHLUNGEN!$E$9:$E$128,SONDERZAHLUNGEN!$B$9:$B$128,C590,SONDERZAHLUNGEN!$C$9:$C$128,A590,SONDERZAHLUNGEN!$H$9:$H$128,"OK",SONDERZAHLUNGEN!$F$9:$F$128,"Ja")-G590))</x:f>
      </x:c>
    </x:row>
    <x:row r="591" ht="19" customHeight="1">
      <x:c r="A591" s="90" t="n">
        <x:f>MONATSBUDGET!$A$36</x:f>
        <x:v>47088</x:v>
      </x:c>
      <x:c r="B591" t="n">
        <x:f>12</x:f>
        <x:v>12</x:v>
      </x:c>
      <x:c r="C591" t="str">
        <x:f>IF($N$20="","",$N$20)</x:f>
      </x:c>
      <x:c r="D591" s="88" t="str">
        <x:f>IF(C591="","",I571)</x:f>
      </x:c>
      <x:c r="E591" s="88" t="str">
        <x:f>IF(C591="","",ROUND(D591*$P$20/12,2))</x:f>
      </x:c>
      <x:c r="F591" s="88" t="str">
        <x:f>IF(C591="","",MIN(D591+E591,$Q$20))</x:f>
      </x:c>
      <x:c r="G591" s="88" t="str">
        <x:f>IF(C591="","",MIN(MAX(0,D591+E591-F591),SUMIFS(SONDERZAHLUNGEN!$E$9:$E$128,SONDERZAHLUNGEN!$B$9:$B$128,C591,SONDERZAHLUNGEN!$C$9:$C$128,A591,SONDERZAHLUNGEN!$H$9:$H$128,"OK",SONDERZAHLUNGEN!$F$9:$F$128,"Ja")))</x:f>
      </x:c>
      <x:c r="H591" s="88" t="str">
        <x:f>IF(C591="","",MIN(MAX(0,D591+E591-F591-G591),MAX(0,IF(MONATSBUDGET!$C$36="",0,MONATSBUDGET!$C$36)-SUM(F580:F599)-SUM(H580:H590))))</x:f>
      </x:c>
      <x:c r="I591" s="88" t="str">
        <x:f>IF(C591="","",MAX(0,ROUND(D591+E591-F591-G591-H591,2)))</x:f>
      </x:c>
      <x:c r="J591" s="88" t="str">
        <x:f>IF(C591="","",F591+G591+H591)</x:f>
      </x:c>
      <x:c r="K591" s="88" t="str">
        <x:f>IF(C591="","",MAX(0,SUMIFS(SONDERZAHLUNGEN!$E$9:$E$128,SONDERZAHLUNGEN!$B$9:$B$128,C591,SONDERZAHLUNGEN!$C$9:$C$128,A591,SONDERZAHLUNGEN!$H$9:$H$128,"OK",SONDERZAHLUNGEN!$F$9:$F$128,"Ja")-G591))</x:f>
      </x:c>
    </x:row>
    <x:row r="592" ht="19" customHeight="1">
      <x:c r="A592" s="90" t="n">
        <x:f>MONATSBUDGET!$A$36</x:f>
        <x:v>47088</x:v>
      </x:c>
      <x:c r="B592" t="n">
        <x:f>13</x:f>
        <x:v>13</x:v>
      </x:c>
      <x:c r="C592" t="str">
        <x:f>IF($N$21="","",$N$21)</x:f>
      </x:c>
      <x:c r="D592" s="88" t="str">
        <x:f>IF(C592="","",I572)</x:f>
      </x:c>
      <x:c r="E592" s="88" t="str">
        <x:f>IF(C592="","",ROUND(D592*$P$21/12,2))</x:f>
      </x:c>
      <x:c r="F592" s="88" t="str">
        <x:f>IF(C592="","",MIN(D592+E592,$Q$21))</x:f>
      </x:c>
      <x:c r="G592" s="88" t="str">
        <x:f>IF(C592="","",MIN(MAX(0,D592+E592-F592),SUMIFS(SONDERZAHLUNGEN!$E$9:$E$128,SONDERZAHLUNGEN!$B$9:$B$128,C592,SONDERZAHLUNGEN!$C$9:$C$128,A592,SONDERZAHLUNGEN!$H$9:$H$128,"OK",SONDERZAHLUNGEN!$F$9:$F$128,"Ja")))</x:f>
      </x:c>
      <x:c r="H592" s="88" t="str">
        <x:f>IF(C592="","",MIN(MAX(0,D592+E592-F592-G592),MAX(0,IF(MONATSBUDGET!$C$36="",0,MONATSBUDGET!$C$36)-SUM(F580:F599)-SUM(H580:H591))))</x:f>
      </x:c>
      <x:c r="I592" s="88" t="str">
        <x:f>IF(C592="","",MAX(0,ROUND(D592+E592-F592-G592-H592,2)))</x:f>
      </x:c>
      <x:c r="J592" s="88" t="str">
        <x:f>IF(C592="","",F592+G592+H592)</x:f>
      </x:c>
      <x:c r="K592" s="88" t="str">
        <x:f>IF(C592="","",MAX(0,SUMIFS(SONDERZAHLUNGEN!$E$9:$E$128,SONDERZAHLUNGEN!$B$9:$B$128,C592,SONDERZAHLUNGEN!$C$9:$C$128,A592,SONDERZAHLUNGEN!$H$9:$H$128,"OK",SONDERZAHLUNGEN!$F$9:$F$128,"Ja")-G592))</x:f>
      </x:c>
    </x:row>
    <x:row r="593" ht="19" customHeight="1">
      <x:c r="A593" s="90" t="n">
        <x:f>MONATSBUDGET!$A$36</x:f>
        <x:v>47088</x:v>
      </x:c>
      <x:c r="B593" t="n">
        <x:f>14</x:f>
        <x:v>14</x:v>
      </x:c>
      <x:c r="C593" t="str">
        <x:f>IF($N$22="","",$N$22)</x:f>
      </x:c>
      <x:c r="D593" s="88" t="str">
        <x:f>IF(C593="","",I573)</x:f>
      </x:c>
      <x:c r="E593" s="88" t="str">
        <x:f>IF(C593="","",ROUND(D593*$P$22/12,2))</x:f>
      </x:c>
      <x:c r="F593" s="88" t="str">
        <x:f>IF(C593="","",MIN(D593+E593,$Q$22))</x:f>
      </x:c>
      <x:c r="G593" s="88" t="str">
        <x:f>IF(C593="","",MIN(MAX(0,D593+E593-F593),SUMIFS(SONDERZAHLUNGEN!$E$9:$E$128,SONDERZAHLUNGEN!$B$9:$B$128,C593,SONDERZAHLUNGEN!$C$9:$C$128,A593,SONDERZAHLUNGEN!$H$9:$H$128,"OK",SONDERZAHLUNGEN!$F$9:$F$128,"Ja")))</x:f>
      </x:c>
      <x:c r="H593" s="88" t="str">
        <x:f>IF(C593="","",MIN(MAX(0,D593+E593-F593-G593),MAX(0,IF(MONATSBUDGET!$C$36="",0,MONATSBUDGET!$C$36)-SUM(F580:F599)-SUM(H580:H592))))</x:f>
      </x:c>
      <x:c r="I593" s="88" t="str">
        <x:f>IF(C593="","",MAX(0,ROUND(D593+E593-F593-G593-H593,2)))</x:f>
      </x:c>
      <x:c r="J593" s="88" t="str">
        <x:f>IF(C593="","",F593+G593+H593)</x:f>
      </x:c>
      <x:c r="K593" s="88" t="str">
        <x:f>IF(C593="","",MAX(0,SUMIFS(SONDERZAHLUNGEN!$E$9:$E$128,SONDERZAHLUNGEN!$B$9:$B$128,C593,SONDERZAHLUNGEN!$C$9:$C$128,A593,SONDERZAHLUNGEN!$H$9:$H$128,"OK",SONDERZAHLUNGEN!$F$9:$F$128,"Ja")-G593))</x:f>
      </x:c>
    </x:row>
    <x:row r="594" ht="19" customHeight="1">
      <x:c r="A594" s="90" t="n">
        <x:f>MONATSBUDGET!$A$36</x:f>
        <x:v>47088</x:v>
      </x:c>
      <x:c r="B594" t="n">
        <x:f>15</x:f>
        <x:v>15</x:v>
      </x:c>
      <x:c r="C594" t="str">
        <x:f>IF($N$23="","",$N$23)</x:f>
      </x:c>
      <x:c r="D594" s="88" t="str">
        <x:f>IF(C594="","",I574)</x:f>
      </x:c>
      <x:c r="E594" s="88" t="str">
        <x:f>IF(C594="","",ROUND(D594*$P$23/12,2))</x:f>
      </x:c>
      <x:c r="F594" s="88" t="str">
        <x:f>IF(C594="","",MIN(D594+E594,$Q$23))</x:f>
      </x:c>
      <x:c r="G594" s="88" t="str">
        <x:f>IF(C594="","",MIN(MAX(0,D594+E594-F594),SUMIFS(SONDERZAHLUNGEN!$E$9:$E$128,SONDERZAHLUNGEN!$B$9:$B$128,C594,SONDERZAHLUNGEN!$C$9:$C$128,A594,SONDERZAHLUNGEN!$H$9:$H$128,"OK",SONDERZAHLUNGEN!$F$9:$F$128,"Ja")))</x:f>
      </x:c>
      <x:c r="H594" s="88" t="str">
        <x:f>IF(C594="","",MIN(MAX(0,D594+E594-F594-G594),MAX(0,IF(MONATSBUDGET!$C$36="",0,MONATSBUDGET!$C$36)-SUM(F580:F599)-SUM(H580:H593))))</x:f>
      </x:c>
      <x:c r="I594" s="88" t="str">
        <x:f>IF(C594="","",MAX(0,ROUND(D594+E594-F594-G594-H594,2)))</x:f>
      </x:c>
      <x:c r="J594" s="88" t="str">
        <x:f>IF(C594="","",F594+G594+H594)</x:f>
      </x:c>
      <x:c r="K594" s="88" t="str">
        <x:f>IF(C594="","",MAX(0,SUMIFS(SONDERZAHLUNGEN!$E$9:$E$128,SONDERZAHLUNGEN!$B$9:$B$128,C594,SONDERZAHLUNGEN!$C$9:$C$128,A594,SONDERZAHLUNGEN!$H$9:$H$128,"OK",SONDERZAHLUNGEN!$F$9:$F$128,"Ja")-G594))</x:f>
      </x:c>
    </x:row>
    <x:row r="595" ht="19" customHeight="1">
      <x:c r="A595" s="90" t="n">
        <x:f>MONATSBUDGET!$A$36</x:f>
        <x:v>47088</x:v>
      </x:c>
      <x:c r="B595" t="n">
        <x:f>16</x:f>
        <x:v>16</x:v>
      </x:c>
      <x:c r="C595" t="str">
        <x:f>IF($N$24="","",$N$24)</x:f>
      </x:c>
      <x:c r="D595" s="88" t="str">
        <x:f>IF(C595="","",I575)</x:f>
      </x:c>
      <x:c r="E595" s="88" t="str">
        <x:f>IF(C595="","",ROUND(D595*$P$24/12,2))</x:f>
      </x:c>
      <x:c r="F595" s="88" t="str">
        <x:f>IF(C595="","",MIN(D595+E595,$Q$24))</x:f>
      </x:c>
      <x:c r="G595" s="88" t="str">
        <x:f>IF(C595="","",MIN(MAX(0,D595+E595-F595),SUMIFS(SONDERZAHLUNGEN!$E$9:$E$128,SONDERZAHLUNGEN!$B$9:$B$128,C595,SONDERZAHLUNGEN!$C$9:$C$128,A595,SONDERZAHLUNGEN!$H$9:$H$128,"OK",SONDERZAHLUNGEN!$F$9:$F$128,"Ja")))</x:f>
      </x:c>
      <x:c r="H595" s="88" t="str">
        <x:f>IF(C595="","",MIN(MAX(0,D595+E595-F595-G595),MAX(0,IF(MONATSBUDGET!$C$36="",0,MONATSBUDGET!$C$36)-SUM(F580:F599)-SUM(H580:H594))))</x:f>
      </x:c>
      <x:c r="I595" s="88" t="str">
        <x:f>IF(C595="","",MAX(0,ROUND(D595+E595-F595-G595-H595,2)))</x:f>
      </x:c>
      <x:c r="J595" s="88" t="str">
        <x:f>IF(C595="","",F595+G595+H595)</x:f>
      </x:c>
      <x:c r="K595" s="88" t="str">
        <x:f>IF(C595="","",MAX(0,SUMIFS(SONDERZAHLUNGEN!$E$9:$E$128,SONDERZAHLUNGEN!$B$9:$B$128,C595,SONDERZAHLUNGEN!$C$9:$C$128,A595,SONDERZAHLUNGEN!$H$9:$H$128,"OK",SONDERZAHLUNGEN!$F$9:$F$128,"Ja")-G595))</x:f>
      </x:c>
    </x:row>
    <x:row r="596" ht="19" customHeight="1">
      <x:c r="A596" s="90" t="n">
        <x:f>MONATSBUDGET!$A$36</x:f>
        <x:v>47088</x:v>
      </x:c>
      <x:c r="B596" t="n">
        <x:f>17</x:f>
        <x:v>17</x:v>
      </x:c>
      <x:c r="C596" t="str">
        <x:f>IF($N$25="","",$N$25)</x:f>
      </x:c>
      <x:c r="D596" s="88" t="str">
        <x:f>IF(C596="","",I576)</x:f>
      </x:c>
      <x:c r="E596" s="88" t="str">
        <x:f>IF(C596="","",ROUND(D596*$P$25/12,2))</x:f>
      </x:c>
      <x:c r="F596" s="88" t="str">
        <x:f>IF(C596="","",MIN(D596+E596,$Q$25))</x:f>
      </x:c>
      <x:c r="G596" s="88" t="str">
        <x:f>IF(C596="","",MIN(MAX(0,D596+E596-F596),SUMIFS(SONDERZAHLUNGEN!$E$9:$E$128,SONDERZAHLUNGEN!$B$9:$B$128,C596,SONDERZAHLUNGEN!$C$9:$C$128,A596,SONDERZAHLUNGEN!$H$9:$H$128,"OK",SONDERZAHLUNGEN!$F$9:$F$128,"Ja")))</x:f>
      </x:c>
      <x:c r="H596" s="88" t="str">
        <x:f>IF(C596="","",MIN(MAX(0,D596+E596-F596-G596),MAX(0,IF(MONATSBUDGET!$C$36="",0,MONATSBUDGET!$C$36)-SUM(F580:F599)-SUM(H580:H595))))</x:f>
      </x:c>
      <x:c r="I596" s="88" t="str">
        <x:f>IF(C596="","",MAX(0,ROUND(D596+E596-F596-G596-H596,2)))</x:f>
      </x:c>
      <x:c r="J596" s="88" t="str">
        <x:f>IF(C596="","",F596+G596+H596)</x:f>
      </x:c>
      <x:c r="K596" s="88" t="str">
        <x:f>IF(C596="","",MAX(0,SUMIFS(SONDERZAHLUNGEN!$E$9:$E$128,SONDERZAHLUNGEN!$B$9:$B$128,C596,SONDERZAHLUNGEN!$C$9:$C$128,A596,SONDERZAHLUNGEN!$H$9:$H$128,"OK",SONDERZAHLUNGEN!$F$9:$F$128,"Ja")-G596))</x:f>
      </x:c>
    </x:row>
    <x:row r="597" ht="19" customHeight="1">
      <x:c r="A597" s="90" t="n">
        <x:f>MONATSBUDGET!$A$36</x:f>
        <x:v>47088</x:v>
      </x:c>
      <x:c r="B597" t="n">
        <x:f>18</x:f>
        <x:v>18</x:v>
      </x:c>
      <x:c r="C597" t="str">
        <x:f>IF($N$26="","",$N$26)</x:f>
      </x:c>
      <x:c r="D597" s="88" t="str">
        <x:f>IF(C597="","",I577)</x:f>
      </x:c>
      <x:c r="E597" s="88" t="str">
        <x:f>IF(C597="","",ROUND(D597*$P$26/12,2))</x:f>
      </x:c>
      <x:c r="F597" s="88" t="str">
        <x:f>IF(C597="","",MIN(D597+E597,$Q$26))</x:f>
      </x:c>
      <x:c r="G597" s="88" t="str">
        <x:f>IF(C597="","",MIN(MAX(0,D597+E597-F597),SUMIFS(SONDERZAHLUNGEN!$E$9:$E$128,SONDERZAHLUNGEN!$B$9:$B$128,C597,SONDERZAHLUNGEN!$C$9:$C$128,A597,SONDERZAHLUNGEN!$H$9:$H$128,"OK",SONDERZAHLUNGEN!$F$9:$F$128,"Ja")))</x:f>
      </x:c>
      <x:c r="H597" s="88" t="str">
        <x:f>IF(C597="","",MIN(MAX(0,D597+E597-F597-G597),MAX(0,IF(MONATSBUDGET!$C$36="",0,MONATSBUDGET!$C$36)-SUM(F580:F599)-SUM(H580:H596))))</x:f>
      </x:c>
      <x:c r="I597" s="88" t="str">
        <x:f>IF(C597="","",MAX(0,ROUND(D597+E597-F597-G597-H597,2)))</x:f>
      </x:c>
      <x:c r="J597" s="88" t="str">
        <x:f>IF(C597="","",F597+G597+H597)</x:f>
      </x:c>
      <x:c r="K597" s="88" t="str">
        <x:f>IF(C597="","",MAX(0,SUMIFS(SONDERZAHLUNGEN!$E$9:$E$128,SONDERZAHLUNGEN!$B$9:$B$128,C597,SONDERZAHLUNGEN!$C$9:$C$128,A597,SONDERZAHLUNGEN!$H$9:$H$128,"OK",SONDERZAHLUNGEN!$F$9:$F$128,"Ja")-G597))</x:f>
      </x:c>
    </x:row>
    <x:row r="598" ht="19" customHeight="1">
      <x:c r="A598" s="90" t="n">
        <x:f>MONATSBUDGET!$A$36</x:f>
        <x:v>47088</x:v>
      </x:c>
      <x:c r="B598" t="n">
        <x:f>19</x:f>
        <x:v>19</x:v>
      </x:c>
      <x:c r="C598" t="str">
        <x:f>IF($N$27="","",$N$27)</x:f>
      </x:c>
      <x:c r="D598" s="88" t="str">
        <x:f>IF(C598="","",I578)</x:f>
      </x:c>
      <x:c r="E598" s="88" t="str">
        <x:f>IF(C598="","",ROUND(D598*$P$27/12,2))</x:f>
      </x:c>
      <x:c r="F598" s="88" t="str">
        <x:f>IF(C598="","",MIN(D598+E598,$Q$27))</x:f>
      </x:c>
      <x:c r="G598" s="88" t="str">
        <x:f>IF(C598="","",MIN(MAX(0,D598+E598-F598),SUMIFS(SONDERZAHLUNGEN!$E$9:$E$128,SONDERZAHLUNGEN!$B$9:$B$128,C598,SONDERZAHLUNGEN!$C$9:$C$128,A598,SONDERZAHLUNGEN!$H$9:$H$128,"OK",SONDERZAHLUNGEN!$F$9:$F$128,"Ja")))</x:f>
      </x:c>
      <x:c r="H598" s="88" t="str">
        <x:f>IF(C598="","",MIN(MAX(0,D598+E598-F598-G598),MAX(0,IF(MONATSBUDGET!$C$36="",0,MONATSBUDGET!$C$36)-SUM(F580:F599)-SUM(H580:H597))))</x:f>
      </x:c>
      <x:c r="I598" s="88" t="str">
        <x:f>IF(C598="","",MAX(0,ROUND(D598+E598-F598-G598-H598,2)))</x:f>
      </x:c>
      <x:c r="J598" s="88" t="str">
        <x:f>IF(C598="","",F598+G598+H598)</x:f>
      </x:c>
      <x:c r="K598" s="88" t="str">
        <x:f>IF(C598="","",MAX(0,SUMIFS(SONDERZAHLUNGEN!$E$9:$E$128,SONDERZAHLUNGEN!$B$9:$B$128,C598,SONDERZAHLUNGEN!$C$9:$C$128,A598,SONDERZAHLUNGEN!$H$9:$H$128,"OK",SONDERZAHLUNGEN!$F$9:$F$128,"Ja")-G598))</x:f>
      </x:c>
    </x:row>
    <x:row r="599" ht="19" customHeight="1">
      <x:c r="A599" s="90" t="n">
        <x:f>MONATSBUDGET!$A$36</x:f>
        <x:v>47088</x:v>
      </x:c>
      <x:c r="B599" t="n">
        <x:f>20</x:f>
        <x:v>20</x:v>
      </x:c>
      <x:c r="C599" t="str">
        <x:f>IF($N$28="","",$N$28)</x:f>
      </x:c>
      <x:c r="D599" s="88" t="str">
        <x:f>IF(C599="","",I579)</x:f>
      </x:c>
      <x:c r="E599" s="88" t="str">
        <x:f>IF(C599="","",ROUND(D599*$P$28/12,2))</x:f>
      </x:c>
      <x:c r="F599" s="88" t="str">
        <x:f>IF(C599="","",MIN(D599+E599,$Q$28))</x:f>
      </x:c>
      <x:c r="G599" s="88" t="str">
        <x:f>IF(C599="","",MIN(MAX(0,D599+E599-F599),SUMIFS(SONDERZAHLUNGEN!$E$9:$E$128,SONDERZAHLUNGEN!$B$9:$B$128,C599,SONDERZAHLUNGEN!$C$9:$C$128,A599,SONDERZAHLUNGEN!$H$9:$H$128,"OK",SONDERZAHLUNGEN!$F$9:$F$128,"Ja")))</x:f>
      </x:c>
      <x:c r="H599" s="88" t="str">
        <x:f>IF(C599="","",MIN(MAX(0,D599+E599-F599-G599),MAX(0,IF(MONATSBUDGET!$C$36="",0,MONATSBUDGET!$C$36)-SUM(F580:F599)-SUM(H580:H598))))</x:f>
      </x:c>
      <x:c r="I599" s="88" t="str">
        <x:f>IF(C599="","",MAX(0,ROUND(D599+E599-F599-G599-H599,2)))</x:f>
      </x:c>
      <x:c r="J599" s="88" t="str">
        <x:f>IF(C599="","",F599+G599+H599)</x:f>
      </x:c>
      <x:c r="K599" s="88" t="str">
        <x:f>IF(C599="","",MAX(0,SUMIFS(SONDERZAHLUNGEN!$E$9:$E$128,SONDERZAHLUNGEN!$B$9:$B$128,C599,SONDERZAHLUNGEN!$C$9:$C$128,A599,SONDERZAHLUNGEN!$H$9:$H$128,"OK",SONDERZAHLUNGEN!$F$9:$F$128,"Ja")-G599))</x:f>
      </x:c>
    </x:row>
    <x:row r="600" ht="19" customHeight="1">
      <x:c r="A600" s="90" t="n">
        <x:f>MONATSBUDGET!$A$37</x:f>
        <x:v>47119</x:v>
      </x:c>
      <x:c r="B600" t="n">
        <x:f>1</x:f>
        <x:v>1</x:v>
      </x:c>
      <x:c r="C600" t="str">
        <x:f>IF($N$9="","",$N$9)</x:f>
      </x:c>
      <x:c r="D600" s="88" t="str">
        <x:f>IF(C600="","",I580)</x:f>
      </x:c>
      <x:c r="E600" s="88" t="str">
        <x:f>IF(C600="","",ROUND(D600*$P$9/12,2))</x:f>
      </x:c>
      <x:c r="F600" s="88" t="str">
        <x:f>IF(C600="","",MIN(D600+E600,$Q$9))</x:f>
      </x:c>
      <x:c r="G600" s="88" t="str">
        <x:f>IF(C600="","",MIN(MAX(0,D600+E600-F600),SUMIFS(SONDERZAHLUNGEN!$E$9:$E$128,SONDERZAHLUNGEN!$B$9:$B$128,C600,SONDERZAHLUNGEN!$C$9:$C$128,A600,SONDERZAHLUNGEN!$H$9:$H$128,"OK",SONDERZAHLUNGEN!$F$9:$F$128,"Ja")))</x:f>
      </x:c>
      <x:c r="H600" s="88" t="str">
        <x:f>IF(C600="","",MIN(MAX(0,D600+E600-F600-G600),MAX(0,IF(MONATSBUDGET!$C$37="",0,MONATSBUDGET!$C$37)-SUM(F600:F619)-0)))</x:f>
      </x:c>
      <x:c r="I600" s="88" t="str">
        <x:f>IF(C600="","",MAX(0,ROUND(D600+E600-F600-G600-H600,2)))</x:f>
      </x:c>
      <x:c r="J600" s="88" t="str">
        <x:f>IF(C600="","",F600+G600+H600)</x:f>
      </x:c>
      <x:c r="K600" s="88" t="str">
        <x:f>IF(C600="","",MAX(0,SUMIFS(SONDERZAHLUNGEN!$E$9:$E$128,SONDERZAHLUNGEN!$B$9:$B$128,C600,SONDERZAHLUNGEN!$C$9:$C$128,A600,SONDERZAHLUNGEN!$H$9:$H$128,"OK",SONDERZAHLUNGEN!$F$9:$F$128,"Ja")-G600))</x:f>
      </x:c>
    </x:row>
    <x:row r="601" ht="19" customHeight="1">
      <x:c r="A601" s="90" t="n">
        <x:f>MONATSBUDGET!$A$37</x:f>
        <x:v>47119</x:v>
      </x:c>
      <x:c r="B601" t="n">
        <x:f>2</x:f>
        <x:v>2</x:v>
      </x:c>
      <x:c r="C601" t="str">
        <x:f>IF($N$10="","",$N$10)</x:f>
      </x:c>
      <x:c r="D601" s="88" t="str">
        <x:f>IF(C601="","",I581)</x:f>
      </x:c>
      <x:c r="E601" s="88" t="str">
        <x:f>IF(C601="","",ROUND(D601*$P$10/12,2))</x:f>
      </x:c>
      <x:c r="F601" s="88" t="str">
        <x:f>IF(C601="","",MIN(D601+E601,$Q$10))</x:f>
      </x:c>
      <x:c r="G601" s="88" t="str">
        <x:f>IF(C601="","",MIN(MAX(0,D601+E601-F601),SUMIFS(SONDERZAHLUNGEN!$E$9:$E$128,SONDERZAHLUNGEN!$B$9:$B$128,C601,SONDERZAHLUNGEN!$C$9:$C$128,A601,SONDERZAHLUNGEN!$H$9:$H$128,"OK",SONDERZAHLUNGEN!$F$9:$F$128,"Ja")))</x:f>
      </x:c>
      <x:c r="H601" s="88" t="str">
        <x:f>IF(C601="","",MIN(MAX(0,D601+E601-F601-G601),MAX(0,IF(MONATSBUDGET!$C$37="",0,MONATSBUDGET!$C$37)-SUM(F600:F619)-SUM(H600:H600))))</x:f>
      </x:c>
      <x:c r="I601" s="88" t="str">
        <x:f>IF(C601="","",MAX(0,ROUND(D601+E601-F601-G601-H601,2)))</x:f>
      </x:c>
      <x:c r="J601" s="88" t="str">
        <x:f>IF(C601="","",F601+G601+H601)</x:f>
      </x:c>
      <x:c r="K601" s="88" t="str">
        <x:f>IF(C601="","",MAX(0,SUMIFS(SONDERZAHLUNGEN!$E$9:$E$128,SONDERZAHLUNGEN!$B$9:$B$128,C601,SONDERZAHLUNGEN!$C$9:$C$128,A601,SONDERZAHLUNGEN!$H$9:$H$128,"OK",SONDERZAHLUNGEN!$F$9:$F$128,"Ja")-G601))</x:f>
      </x:c>
    </x:row>
    <x:row r="602" ht="19" customHeight="1">
      <x:c r="A602" s="90" t="n">
        <x:f>MONATSBUDGET!$A$37</x:f>
        <x:v>47119</x:v>
      </x:c>
      <x:c r="B602" t="n">
        <x:f>3</x:f>
        <x:v>3</x:v>
      </x:c>
      <x:c r="C602" t="str">
        <x:f>IF($N$11="","",$N$11)</x:f>
      </x:c>
      <x:c r="D602" s="88" t="str">
        <x:f>IF(C602="","",I582)</x:f>
      </x:c>
      <x:c r="E602" s="88" t="str">
        <x:f>IF(C602="","",ROUND(D602*$P$11/12,2))</x:f>
      </x:c>
      <x:c r="F602" s="88" t="str">
        <x:f>IF(C602="","",MIN(D602+E602,$Q$11))</x:f>
      </x:c>
      <x:c r="G602" s="88" t="str">
        <x:f>IF(C602="","",MIN(MAX(0,D602+E602-F602),SUMIFS(SONDERZAHLUNGEN!$E$9:$E$128,SONDERZAHLUNGEN!$B$9:$B$128,C602,SONDERZAHLUNGEN!$C$9:$C$128,A602,SONDERZAHLUNGEN!$H$9:$H$128,"OK",SONDERZAHLUNGEN!$F$9:$F$128,"Ja")))</x:f>
      </x:c>
      <x:c r="H602" s="88" t="str">
        <x:f>IF(C602="","",MIN(MAX(0,D602+E602-F602-G602),MAX(0,IF(MONATSBUDGET!$C$37="",0,MONATSBUDGET!$C$37)-SUM(F600:F619)-SUM(H600:H601))))</x:f>
      </x:c>
      <x:c r="I602" s="88" t="str">
        <x:f>IF(C602="","",MAX(0,ROUND(D602+E602-F602-G602-H602,2)))</x:f>
      </x:c>
      <x:c r="J602" s="88" t="str">
        <x:f>IF(C602="","",F602+G602+H602)</x:f>
      </x:c>
      <x:c r="K602" s="88" t="str">
        <x:f>IF(C602="","",MAX(0,SUMIFS(SONDERZAHLUNGEN!$E$9:$E$128,SONDERZAHLUNGEN!$B$9:$B$128,C602,SONDERZAHLUNGEN!$C$9:$C$128,A602,SONDERZAHLUNGEN!$H$9:$H$128,"OK",SONDERZAHLUNGEN!$F$9:$F$128,"Ja")-G602))</x:f>
      </x:c>
    </x:row>
    <x:row r="603" ht="19" customHeight="1">
      <x:c r="A603" s="90" t="n">
        <x:f>MONATSBUDGET!$A$37</x:f>
        <x:v>47119</x:v>
      </x:c>
      <x:c r="B603" t="n">
        <x:f>4</x:f>
        <x:v>4</x:v>
      </x:c>
      <x:c r="C603" t="str">
        <x:f>IF($N$12="","",$N$12)</x:f>
      </x:c>
      <x:c r="D603" s="88" t="str">
        <x:f>IF(C603="","",I583)</x:f>
      </x:c>
      <x:c r="E603" s="88" t="str">
        <x:f>IF(C603="","",ROUND(D603*$P$12/12,2))</x:f>
      </x:c>
      <x:c r="F603" s="88" t="str">
        <x:f>IF(C603="","",MIN(D603+E603,$Q$12))</x:f>
      </x:c>
      <x:c r="G603" s="88" t="str">
        <x:f>IF(C603="","",MIN(MAX(0,D603+E603-F603),SUMIFS(SONDERZAHLUNGEN!$E$9:$E$128,SONDERZAHLUNGEN!$B$9:$B$128,C603,SONDERZAHLUNGEN!$C$9:$C$128,A603,SONDERZAHLUNGEN!$H$9:$H$128,"OK",SONDERZAHLUNGEN!$F$9:$F$128,"Ja")))</x:f>
      </x:c>
      <x:c r="H603" s="88" t="str">
        <x:f>IF(C603="","",MIN(MAX(0,D603+E603-F603-G603),MAX(0,IF(MONATSBUDGET!$C$37="",0,MONATSBUDGET!$C$37)-SUM(F600:F619)-SUM(H600:H602))))</x:f>
      </x:c>
      <x:c r="I603" s="88" t="str">
        <x:f>IF(C603="","",MAX(0,ROUND(D603+E603-F603-G603-H603,2)))</x:f>
      </x:c>
      <x:c r="J603" s="88" t="str">
        <x:f>IF(C603="","",F603+G603+H603)</x:f>
      </x:c>
      <x:c r="K603" s="88" t="str">
        <x:f>IF(C603="","",MAX(0,SUMIFS(SONDERZAHLUNGEN!$E$9:$E$128,SONDERZAHLUNGEN!$B$9:$B$128,C603,SONDERZAHLUNGEN!$C$9:$C$128,A603,SONDERZAHLUNGEN!$H$9:$H$128,"OK",SONDERZAHLUNGEN!$F$9:$F$128,"Ja")-G603))</x:f>
      </x:c>
    </x:row>
    <x:row r="604" ht="19" customHeight="1">
      <x:c r="A604" s="90" t="n">
        <x:f>MONATSBUDGET!$A$37</x:f>
        <x:v>47119</x:v>
      </x:c>
      <x:c r="B604" t="n">
        <x:f>5</x:f>
        <x:v>5</x:v>
      </x:c>
      <x:c r="C604" t="str">
        <x:f>IF($N$13="","",$N$13)</x:f>
      </x:c>
      <x:c r="D604" s="88" t="str">
        <x:f>IF(C604="","",I584)</x:f>
      </x:c>
      <x:c r="E604" s="88" t="str">
        <x:f>IF(C604="","",ROUND(D604*$P$13/12,2))</x:f>
      </x:c>
      <x:c r="F604" s="88" t="str">
        <x:f>IF(C604="","",MIN(D604+E604,$Q$13))</x:f>
      </x:c>
      <x:c r="G604" s="88" t="str">
        <x:f>IF(C604="","",MIN(MAX(0,D604+E604-F604),SUMIFS(SONDERZAHLUNGEN!$E$9:$E$128,SONDERZAHLUNGEN!$B$9:$B$128,C604,SONDERZAHLUNGEN!$C$9:$C$128,A604,SONDERZAHLUNGEN!$H$9:$H$128,"OK",SONDERZAHLUNGEN!$F$9:$F$128,"Ja")))</x:f>
      </x:c>
      <x:c r="H604" s="88" t="str">
        <x:f>IF(C604="","",MIN(MAX(0,D604+E604-F604-G604),MAX(0,IF(MONATSBUDGET!$C$37="",0,MONATSBUDGET!$C$37)-SUM(F600:F619)-SUM(H600:H603))))</x:f>
      </x:c>
      <x:c r="I604" s="88" t="str">
        <x:f>IF(C604="","",MAX(0,ROUND(D604+E604-F604-G604-H604,2)))</x:f>
      </x:c>
      <x:c r="J604" s="88" t="str">
        <x:f>IF(C604="","",F604+G604+H604)</x:f>
      </x:c>
      <x:c r="K604" s="88" t="str">
        <x:f>IF(C604="","",MAX(0,SUMIFS(SONDERZAHLUNGEN!$E$9:$E$128,SONDERZAHLUNGEN!$B$9:$B$128,C604,SONDERZAHLUNGEN!$C$9:$C$128,A604,SONDERZAHLUNGEN!$H$9:$H$128,"OK",SONDERZAHLUNGEN!$F$9:$F$128,"Ja")-G604))</x:f>
      </x:c>
    </x:row>
    <x:row r="605" ht="19" customHeight="1">
      <x:c r="A605" s="90" t="n">
        <x:f>MONATSBUDGET!$A$37</x:f>
        <x:v>47119</x:v>
      </x:c>
      <x:c r="B605" t="n">
        <x:f>6</x:f>
        <x:v>6</x:v>
      </x:c>
      <x:c r="C605" t="str">
        <x:f>IF($N$14="","",$N$14)</x:f>
      </x:c>
      <x:c r="D605" s="88" t="str">
        <x:f>IF(C605="","",I585)</x:f>
      </x:c>
      <x:c r="E605" s="88" t="str">
        <x:f>IF(C605="","",ROUND(D605*$P$14/12,2))</x:f>
      </x:c>
      <x:c r="F605" s="88" t="str">
        <x:f>IF(C605="","",MIN(D605+E605,$Q$14))</x:f>
      </x:c>
      <x:c r="G605" s="88" t="str">
        <x:f>IF(C605="","",MIN(MAX(0,D605+E605-F605),SUMIFS(SONDERZAHLUNGEN!$E$9:$E$128,SONDERZAHLUNGEN!$B$9:$B$128,C605,SONDERZAHLUNGEN!$C$9:$C$128,A605,SONDERZAHLUNGEN!$H$9:$H$128,"OK",SONDERZAHLUNGEN!$F$9:$F$128,"Ja")))</x:f>
      </x:c>
      <x:c r="H605" s="88" t="str">
        <x:f>IF(C605="","",MIN(MAX(0,D605+E605-F605-G605),MAX(0,IF(MONATSBUDGET!$C$37="",0,MONATSBUDGET!$C$37)-SUM(F600:F619)-SUM(H600:H604))))</x:f>
      </x:c>
      <x:c r="I605" s="88" t="str">
        <x:f>IF(C605="","",MAX(0,ROUND(D605+E605-F605-G605-H605,2)))</x:f>
      </x:c>
      <x:c r="J605" s="88" t="str">
        <x:f>IF(C605="","",F605+G605+H605)</x:f>
      </x:c>
      <x:c r="K605" s="88" t="str">
        <x:f>IF(C605="","",MAX(0,SUMIFS(SONDERZAHLUNGEN!$E$9:$E$128,SONDERZAHLUNGEN!$B$9:$B$128,C605,SONDERZAHLUNGEN!$C$9:$C$128,A605,SONDERZAHLUNGEN!$H$9:$H$128,"OK",SONDERZAHLUNGEN!$F$9:$F$128,"Ja")-G605))</x:f>
      </x:c>
    </x:row>
    <x:row r="606" ht="19" customHeight="1">
      <x:c r="A606" s="90" t="n">
        <x:f>MONATSBUDGET!$A$37</x:f>
        <x:v>47119</x:v>
      </x:c>
      <x:c r="B606" t="n">
        <x:f>7</x:f>
        <x:v>7</x:v>
      </x:c>
      <x:c r="C606" t="str">
        <x:f>IF($N$15="","",$N$15)</x:f>
      </x:c>
      <x:c r="D606" s="88" t="str">
        <x:f>IF(C606="","",I586)</x:f>
      </x:c>
      <x:c r="E606" s="88" t="str">
        <x:f>IF(C606="","",ROUND(D606*$P$15/12,2))</x:f>
      </x:c>
      <x:c r="F606" s="88" t="str">
        <x:f>IF(C606="","",MIN(D606+E606,$Q$15))</x:f>
      </x:c>
      <x:c r="G606" s="88" t="str">
        <x:f>IF(C606="","",MIN(MAX(0,D606+E606-F606),SUMIFS(SONDERZAHLUNGEN!$E$9:$E$128,SONDERZAHLUNGEN!$B$9:$B$128,C606,SONDERZAHLUNGEN!$C$9:$C$128,A606,SONDERZAHLUNGEN!$H$9:$H$128,"OK",SONDERZAHLUNGEN!$F$9:$F$128,"Ja")))</x:f>
      </x:c>
      <x:c r="H606" s="88" t="str">
        <x:f>IF(C606="","",MIN(MAX(0,D606+E606-F606-G606),MAX(0,IF(MONATSBUDGET!$C$37="",0,MONATSBUDGET!$C$37)-SUM(F600:F619)-SUM(H600:H605))))</x:f>
      </x:c>
      <x:c r="I606" s="88" t="str">
        <x:f>IF(C606="","",MAX(0,ROUND(D606+E606-F606-G606-H606,2)))</x:f>
      </x:c>
      <x:c r="J606" s="88" t="str">
        <x:f>IF(C606="","",F606+G606+H606)</x:f>
      </x:c>
      <x:c r="K606" s="88" t="str">
        <x:f>IF(C606="","",MAX(0,SUMIFS(SONDERZAHLUNGEN!$E$9:$E$128,SONDERZAHLUNGEN!$B$9:$B$128,C606,SONDERZAHLUNGEN!$C$9:$C$128,A606,SONDERZAHLUNGEN!$H$9:$H$128,"OK",SONDERZAHLUNGEN!$F$9:$F$128,"Ja")-G606))</x:f>
      </x:c>
    </x:row>
    <x:row r="607" ht="19" customHeight="1">
      <x:c r="A607" s="90" t="n">
        <x:f>MONATSBUDGET!$A$37</x:f>
        <x:v>47119</x:v>
      </x:c>
      <x:c r="B607" t="n">
        <x:f>8</x:f>
        <x:v>8</x:v>
      </x:c>
      <x:c r="C607" t="str">
        <x:f>IF($N$16="","",$N$16)</x:f>
      </x:c>
      <x:c r="D607" s="88" t="str">
        <x:f>IF(C607="","",I587)</x:f>
      </x:c>
      <x:c r="E607" s="88" t="str">
        <x:f>IF(C607="","",ROUND(D607*$P$16/12,2))</x:f>
      </x:c>
      <x:c r="F607" s="88" t="str">
        <x:f>IF(C607="","",MIN(D607+E607,$Q$16))</x:f>
      </x:c>
      <x:c r="G607" s="88" t="str">
        <x:f>IF(C607="","",MIN(MAX(0,D607+E607-F607),SUMIFS(SONDERZAHLUNGEN!$E$9:$E$128,SONDERZAHLUNGEN!$B$9:$B$128,C607,SONDERZAHLUNGEN!$C$9:$C$128,A607,SONDERZAHLUNGEN!$H$9:$H$128,"OK",SONDERZAHLUNGEN!$F$9:$F$128,"Ja")))</x:f>
      </x:c>
      <x:c r="H607" s="88" t="str">
        <x:f>IF(C607="","",MIN(MAX(0,D607+E607-F607-G607),MAX(0,IF(MONATSBUDGET!$C$37="",0,MONATSBUDGET!$C$37)-SUM(F600:F619)-SUM(H600:H606))))</x:f>
      </x:c>
      <x:c r="I607" s="88" t="str">
        <x:f>IF(C607="","",MAX(0,ROUND(D607+E607-F607-G607-H607,2)))</x:f>
      </x:c>
      <x:c r="J607" s="88" t="str">
        <x:f>IF(C607="","",F607+G607+H607)</x:f>
      </x:c>
      <x:c r="K607" s="88" t="str">
        <x:f>IF(C607="","",MAX(0,SUMIFS(SONDERZAHLUNGEN!$E$9:$E$128,SONDERZAHLUNGEN!$B$9:$B$128,C607,SONDERZAHLUNGEN!$C$9:$C$128,A607,SONDERZAHLUNGEN!$H$9:$H$128,"OK",SONDERZAHLUNGEN!$F$9:$F$128,"Ja")-G607))</x:f>
      </x:c>
    </x:row>
    <x:row r="608" ht="19" customHeight="1">
      <x:c r="A608" s="90" t="n">
        <x:f>MONATSBUDGET!$A$37</x:f>
        <x:v>47119</x:v>
      </x:c>
      <x:c r="B608" t="n">
        <x:f>9</x:f>
        <x:v>9</x:v>
      </x:c>
      <x:c r="C608" t="str">
        <x:f>IF($N$17="","",$N$17)</x:f>
      </x:c>
      <x:c r="D608" s="88" t="str">
        <x:f>IF(C608="","",I588)</x:f>
      </x:c>
      <x:c r="E608" s="88" t="str">
        <x:f>IF(C608="","",ROUND(D608*$P$17/12,2))</x:f>
      </x:c>
      <x:c r="F608" s="88" t="str">
        <x:f>IF(C608="","",MIN(D608+E608,$Q$17))</x:f>
      </x:c>
      <x:c r="G608" s="88" t="str">
        <x:f>IF(C608="","",MIN(MAX(0,D608+E608-F608),SUMIFS(SONDERZAHLUNGEN!$E$9:$E$128,SONDERZAHLUNGEN!$B$9:$B$128,C608,SONDERZAHLUNGEN!$C$9:$C$128,A608,SONDERZAHLUNGEN!$H$9:$H$128,"OK",SONDERZAHLUNGEN!$F$9:$F$128,"Ja")))</x:f>
      </x:c>
      <x:c r="H608" s="88" t="str">
        <x:f>IF(C608="","",MIN(MAX(0,D608+E608-F608-G608),MAX(0,IF(MONATSBUDGET!$C$37="",0,MONATSBUDGET!$C$37)-SUM(F600:F619)-SUM(H600:H607))))</x:f>
      </x:c>
      <x:c r="I608" s="88" t="str">
        <x:f>IF(C608="","",MAX(0,ROUND(D608+E608-F608-G608-H608,2)))</x:f>
      </x:c>
      <x:c r="J608" s="88" t="str">
        <x:f>IF(C608="","",F608+G608+H608)</x:f>
      </x:c>
      <x:c r="K608" s="88" t="str">
        <x:f>IF(C608="","",MAX(0,SUMIFS(SONDERZAHLUNGEN!$E$9:$E$128,SONDERZAHLUNGEN!$B$9:$B$128,C608,SONDERZAHLUNGEN!$C$9:$C$128,A608,SONDERZAHLUNGEN!$H$9:$H$128,"OK",SONDERZAHLUNGEN!$F$9:$F$128,"Ja")-G608))</x:f>
      </x:c>
    </x:row>
    <x:row r="609" ht="19" customHeight="1">
      <x:c r="A609" s="90" t="n">
        <x:f>MONATSBUDGET!$A$37</x:f>
        <x:v>47119</x:v>
      </x:c>
      <x:c r="B609" t="n">
        <x:f>10</x:f>
        <x:v>10</x:v>
      </x:c>
      <x:c r="C609" t="str">
        <x:f>IF($N$18="","",$N$18)</x:f>
      </x:c>
      <x:c r="D609" s="88" t="str">
        <x:f>IF(C609="","",I589)</x:f>
      </x:c>
      <x:c r="E609" s="88" t="str">
        <x:f>IF(C609="","",ROUND(D609*$P$18/12,2))</x:f>
      </x:c>
      <x:c r="F609" s="88" t="str">
        <x:f>IF(C609="","",MIN(D609+E609,$Q$18))</x:f>
      </x:c>
      <x:c r="G609" s="88" t="str">
        <x:f>IF(C609="","",MIN(MAX(0,D609+E609-F609),SUMIFS(SONDERZAHLUNGEN!$E$9:$E$128,SONDERZAHLUNGEN!$B$9:$B$128,C609,SONDERZAHLUNGEN!$C$9:$C$128,A609,SONDERZAHLUNGEN!$H$9:$H$128,"OK",SONDERZAHLUNGEN!$F$9:$F$128,"Ja")))</x:f>
      </x:c>
      <x:c r="H609" s="88" t="str">
        <x:f>IF(C609="","",MIN(MAX(0,D609+E609-F609-G609),MAX(0,IF(MONATSBUDGET!$C$37="",0,MONATSBUDGET!$C$37)-SUM(F600:F619)-SUM(H600:H608))))</x:f>
      </x:c>
      <x:c r="I609" s="88" t="str">
        <x:f>IF(C609="","",MAX(0,ROUND(D609+E609-F609-G609-H609,2)))</x:f>
      </x:c>
      <x:c r="J609" s="88" t="str">
        <x:f>IF(C609="","",F609+G609+H609)</x:f>
      </x:c>
      <x:c r="K609" s="88" t="str">
        <x:f>IF(C609="","",MAX(0,SUMIFS(SONDERZAHLUNGEN!$E$9:$E$128,SONDERZAHLUNGEN!$B$9:$B$128,C609,SONDERZAHLUNGEN!$C$9:$C$128,A609,SONDERZAHLUNGEN!$H$9:$H$128,"OK",SONDERZAHLUNGEN!$F$9:$F$128,"Ja")-G609))</x:f>
      </x:c>
    </x:row>
    <x:row r="610" ht="19" customHeight="1">
      <x:c r="A610" s="90" t="n">
        <x:f>MONATSBUDGET!$A$37</x:f>
        <x:v>47119</x:v>
      </x:c>
      <x:c r="B610" t="n">
        <x:f>11</x:f>
        <x:v>11</x:v>
      </x:c>
      <x:c r="C610" t="str">
        <x:f>IF($N$19="","",$N$19)</x:f>
      </x:c>
      <x:c r="D610" s="88" t="str">
        <x:f>IF(C610="","",I590)</x:f>
      </x:c>
      <x:c r="E610" s="88" t="str">
        <x:f>IF(C610="","",ROUND(D610*$P$19/12,2))</x:f>
      </x:c>
      <x:c r="F610" s="88" t="str">
        <x:f>IF(C610="","",MIN(D610+E610,$Q$19))</x:f>
      </x:c>
      <x:c r="G610" s="88" t="str">
        <x:f>IF(C610="","",MIN(MAX(0,D610+E610-F610),SUMIFS(SONDERZAHLUNGEN!$E$9:$E$128,SONDERZAHLUNGEN!$B$9:$B$128,C610,SONDERZAHLUNGEN!$C$9:$C$128,A610,SONDERZAHLUNGEN!$H$9:$H$128,"OK",SONDERZAHLUNGEN!$F$9:$F$128,"Ja")))</x:f>
      </x:c>
      <x:c r="H610" s="88" t="str">
        <x:f>IF(C610="","",MIN(MAX(0,D610+E610-F610-G610),MAX(0,IF(MONATSBUDGET!$C$37="",0,MONATSBUDGET!$C$37)-SUM(F600:F619)-SUM(H600:H609))))</x:f>
      </x:c>
      <x:c r="I610" s="88" t="str">
        <x:f>IF(C610="","",MAX(0,ROUND(D610+E610-F610-G610-H610,2)))</x:f>
      </x:c>
      <x:c r="J610" s="88" t="str">
        <x:f>IF(C610="","",F610+G610+H610)</x:f>
      </x:c>
      <x:c r="K610" s="88" t="str">
        <x:f>IF(C610="","",MAX(0,SUMIFS(SONDERZAHLUNGEN!$E$9:$E$128,SONDERZAHLUNGEN!$B$9:$B$128,C610,SONDERZAHLUNGEN!$C$9:$C$128,A610,SONDERZAHLUNGEN!$H$9:$H$128,"OK",SONDERZAHLUNGEN!$F$9:$F$128,"Ja")-G610))</x:f>
      </x:c>
    </x:row>
    <x:row r="611" ht="19" customHeight="1">
      <x:c r="A611" s="90" t="n">
        <x:f>MONATSBUDGET!$A$37</x:f>
        <x:v>47119</x:v>
      </x:c>
      <x:c r="B611" t="n">
        <x:f>12</x:f>
        <x:v>12</x:v>
      </x:c>
      <x:c r="C611" t="str">
        <x:f>IF($N$20="","",$N$20)</x:f>
      </x:c>
      <x:c r="D611" s="88" t="str">
        <x:f>IF(C611="","",I591)</x:f>
      </x:c>
      <x:c r="E611" s="88" t="str">
        <x:f>IF(C611="","",ROUND(D611*$P$20/12,2))</x:f>
      </x:c>
      <x:c r="F611" s="88" t="str">
        <x:f>IF(C611="","",MIN(D611+E611,$Q$20))</x:f>
      </x:c>
      <x:c r="G611" s="88" t="str">
        <x:f>IF(C611="","",MIN(MAX(0,D611+E611-F611),SUMIFS(SONDERZAHLUNGEN!$E$9:$E$128,SONDERZAHLUNGEN!$B$9:$B$128,C611,SONDERZAHLUNGEN!$C$9:$C$128,A611,SONDERZAHLUNGEN!$H$9:$H$128,"OK",SONDERZAHLUNGEN!$F$9:$F$128,"Ja")))</x:f>
      </x:c>
      <x:c r="H611" s="88" t="str">
        <x:f>IF(C611="","",MIN(MAX(0,D611+E611-F611-G611),MAX(0,IF(MONATSBUDGET!$C$37="",0,MONATSBUDGET!$C$37)-SUM(F600:F619)-SUM(H600:H610))))</x:f>
      </x:c>
      <x:c r="I611" s="88" t="str">
        <x:f>IF(C611="","",MAX(0,ROUND(D611+E611-F611-G611-H611,2)))</x:f>
      </x:c>
      <x:c r="J611" s="88" t="str">
        <x:f>IF(C611="","",F611+G611+H611)</x:f>
      </x:c>
      <x:c r="K611" s="88" t="str">
        <x:f>IF(C611="","",MAX(0,SUMIFS(SONDERZAHLUNGEN!$E$9:$E$128,SONDERZAHLUNGEN!$B$9:$B$128,C611,SONDERZAHLUNGEN!$C$9:$C$128,A611,SONDERZAHLUNGEN!$H$9:$H$128,"OK",SONDERZAHLUNGEN!$F$9:$F$128,"Ja")-G611))</x:f>
      </x:c>
    </x:row>
    <x:row r="612" ht="19" customHeight="1">
      <x:c r="A612" s="90" t="n">
        <x:f>MONATSBUDGET!$A$37</x:f>
        <x:v>47119</x:v>
      </x:c>
      <x:c r="B612" t="n">
        <x:f>13</x:f>
        <x:v>13</x:v>
      </x:c>
      <x:c r="C612" t="str">
        <x:f>IF($N$21="","",$N$21)</x:f>
      </x:c>
      <x:c r="D612" s="88" t="str">
        <x:f>IF(C612="","",I592)</x:f>
      </x:c>
      <x:c r="E612" s="88" t="str">
        <x:f>IF(C612="","",ROUND(D612*$P$21/12,2))</x:f>
      </x:c>
      <x:c r="F612" s="88" t="str">
        <x:f>IF(C612="","",MIN(D612+E612,$Q$21))</x:f>
      </x:c>
      <x:c r="G612" s="88" t="str">
        <x:f>IF(C612="","",MIN(MAX(0,D612+E612-F612),SUMIFS(SONDERZAHLUNGEN!$E$9:$E$128,SONDERZAHLUNGEN!$B$9:$B$128,C612,SONDERZAHLUNGEN!$C$9:$C$128,A612,SONDERZAHLUNGEN!$H$9:$H$128,"OK",SONDERZAHLUNGEN!$F$9:$F$128,"Ja")))</x:f>
      </x:c>
      <x:c r="H612" s="88" t="str">
        <x:f>IF(C612="","",MIN(MAX(0,D612+E612-F612-G612),MAX(0,IF(MONATSBUDGET!$C$37="",0,MONATSBUDGET!$C$37)-SUM(F600:F619)-SUM(H600:H611))))</x:f>
      </x:c>
      <x:c r="I612" s="88" t="str">
        <x:f>IF(C612="","",MAX(0,ROUND(D612+E612-F612-G612-H612,2)))</x:f>
      </x:c>
      <x:c r="J612" s="88" t="str">
        <x:f>IF(C612="","",F612+G612+H612)</x:f>
      </x:c>
      <x:c r="K612" s="88" t="str">
        <x:f>IF(C612="","",MAX(0,SUMIFS(SONDERZAHLUNGEN!$E$9:$E$128,SONDERZAHLUNGEN!$B$9:$B$128,C612,SONDERZAHLUNGEN!$C$9:$C$128,A612,SONDERZAHLUNGEN!$H$9:$H$128,"OK",SONDERZAHLUNGEN!$F$9:$F$128,"Ja")-G612))</x:f>
      </x:c>
    </x:row>
    <x:row r="613" ht="19" customHeight="1">
      <x:c r="A613" s="90" t="n">
        <x:f>MONATSBUDGET!$A$37</x:f>
        <x:v>47119</x:v>
      </x:c>
      <x:c r="B613" t="n">
        <x:f>14</x:f>
        <x:v>14</x:v>
      </x:c>
      <x:c r="C613" t="str">
        <x:f>IF($N$22="","",$N$22)</x:f>
      </x:c>
      <x:c r="D613" s="88" t="str">
        <x:f>IF(C613="","",I593)</x:f>
      </x:c>
      <x:c r="E613" s="88" t="str">
        <x:f>IF(C613="","",ROUND(D613*$P$22/12,2))</x:f>
      </x:c>
      <x:c r="F613" s="88" t="str">
        <x:f>IF(C613="","",MIN(D613+E613,$Q$22))</x:f>
      </x:c>
      <x:c r="G613" s="88" t="str">
        <x:f>IF(C613="","",MIN(MAX(0,D613+E613-F613),SUMIFS(SONDERZAHLUNGEN!$E$9:$E$128,SONDERZAHLUNGEN!$B$9:$B$128,C613,SONDERZAHLUNGEN!$C$9:$C$128,A613,SONDERZAHLUNGEN!$H$9:$H$128,"OK",SONDERZAHLUNGEN!$F$9:$F$128,"Ja")))</x:f>
      </x:c>
      <x:c r="H613" s="88" t="str">
        <x:f>IF(C613="","",MIN(MAX(0,D613+E613-F613-G613),MAX(0,IF(MONATSBUDGET!$C$37="",0,MONATSBUDGET!$C$37)-SUM(F600:F619)-SUM(H600:H612))))</x:f>
      </x:c>
      <x:c r="I613" s="88" t="str">
        <x:f>IF(C613="","",MAX(0,ROUND(D613+E613-F613-G613-H613,2)))</x:f>
      </x:c>
      <x:c r="J613" s="88" t="str">
        <x:f>IF(C613="","",F613+G613+H613)</x:f>
      </x:c>
      <x:c r="K613" s="88" t="str">
        <x:f>IF(C613="","",MAX(0,SUMIFS(SONDERZAHLUNGEN!$E$9:$E$128,SONDERZAHLUNGEN!$B$9:$B$128,C613,SONDERZAHLUNGEN!$C$9:$C$128,A613,SONDERZAHLUNGEN!$H$9:$H$128,"OK",SONDERZAHLUNGEN!$F$9:$F$128,"Ja")-G613))</x:f>
      </x:c>
    </x:row>
    <x:row r="614" ht="19" customHeight="1">
      <x:c r="A614" s="90" t="n">
        <x:f>MONATSBUDGET!$A$37</x:f>
        <x:v>47119</x:v>
      </x:c>
      <x:c r="B614" t="n">
        <x:f>15</x:f>
        <x:v>15</x:v>
      </x:c>
      <x:c r="C614" t="str">
        <x:f>IF($N$23="","",$N$23)</x:f>
      </x:c>
      <x:c r="D614" s="88" t="str">
        <x:f>IF(C614="","",I594)</x:f>
      </x:c>
      <x:c r="E614" s="88" t="str">
        <x:f>IF(C614="","",ROUND(D614*$P$23/12,2))</x:f>
      </x:c>
      <x:c r="F614" s="88" t="str">
        <x:f>IF(C614="","",MIN(D614+E614,$Q$23))</x:f>
      </x:c>
      <x:c r="G614" s="88" t="str">
        <x:f>IF(C614="","",MIN(MAX(0,D614+E614-F614),SUMIFS(SONDERZAHLUNGEN!$E$9:$E$128,SONDERZAHLUNGEN!$B$9:$B$128,C614,SONDERZAHLUNGEN!$C$9:$C$128,A614,SONDERZAHLUNGEN!$H$9:$H$128,"OK",SONDERZAHLUNGEN!$F$9:$F$128,"Ja")))</x:f>
      </x:c>
      <x:c r="H614" s="88" t="str">
        <x:f>IF(C614="","",MIN(MAX(0,D614+E614-F614-G614),MAX(0,IF(MONATSBUDGET!$C$37="",0,MONATSBUDGET!$C$37)-SUM(F600:F619)-SUM(H600:H613))))</x:f>
      </x:c>
      <x:c r="I614" s="88" t="str">
        <x:f>IF(C614="","",MAX(0,ROUND(D614+E614-F614-G614-H614,2)))</x:f>
      </x:c>
      <x:c r="J614" s="88" t="str">
        <x:f>IF(C614="","",F614+G614+H614)</x:f>
      </x:c>
      <x:c r="K614" s="88" t="str">
        <x:f>IF(C614="","",MAX(0,SUMIFS(SONDERZAHLUNGEN!$E$9:$E$128,SONDERZAHLUNGEN!$B$9:$B$128,C614,SONDERZAHLUNGEN!$C$9:$C$128,A614,SONDERZAHLUNGEN!$H$9:$H$128,"OK",SONDERZAHLUNGEN!$F$9:$F$128,"Ja")-G614))</x:f>
      </x:c>
    </x:row>
    <x:row r="615" ht="19" customHeight="1">
      <x:c r="A615" s="90" t="n">
        <x:f>MONATSBUDGET!$A$37</x:f>
        <x:v>47119</x:v>
      </x:c>
      <x:c r="B615" t="n">
        <x:f>16</x:f>
        <x:v>16</x:v>
      </x:c>
      <x:c r="C615" t="str">
        <x:f>IF($N$24="","",$N$24)</x:f>
      </x:c>
      <x:c r="D615" s="88" t="str">
        <x:f>IF(C615="","",I595)</x:f>
      </x:c>
      <x:c r="E615" s="88" t="str">
        <x:f>IF(C615="","",ROUND(D615*$P$24/12,2))</x:f>
      </x:c>
      <x:c r="F615" s="88" t="str">
        <x:f>IF(C615="","",MIN(D615+E615,$Q$24))</x:f>
      </x:c>
      <x:c r="G615" s="88" t="str">
        <x:f>IF(C615="","",MIN(MAX(0,D615+E615-F615),SUMIFS(SONDERZAHLUNGEN!$E$9:$E$128,SONDERZAHLUNGEN!$B$9:$B$128,C615,SONDERZAHLUNGEN!$C$9:$C$128,A615,SONDERZAHLUNGEN!$H$9:$H$128,"OK",SONDERZAHLUNGEN!$F$9:$F$128,"Ja")))</x:f>
      </x:c>
      <x:c r="H615" s="88" t="str">
        <x:f>IF(C615="","",MIN(MAX(0,D615+E615-F615-G615),MAX(0,IF(MONATSBUDGET!$C$37="",0,MONATSBUDGET!$C$37)-SUM(F600:F619)-SUM(H600:H614))))</x:f>
      </x:c>
      <x:c r="I615" s="88" t="str">
        <x:f>IF(C615="","",MAX(0,ROUND(D615+E615-F615-G615-H615,2)))</x:f>
      </x:c>
      <x:c r="J615" s="88" t="str">
        <x:f>IF(C615="","",F615+G615+H615)</x:f>
      </x:c>
      <x:c r="K615" s="88" t="str">
        <x:f>IF(C615="","",MAX(0,SUMIFS(SONDERZAHLUNGEN!$E$9:$E$128,SONDERZAHLUNGEN!$B$9:$B$128,C615,SONDERZAHLUNGEN!$C$9:$C$128,A615,SONDERZAHLUNGEN!$H$9:$H$128,"OK",SONDERZAHLUNGEN!$F$9:$F$128,"Ja")-G615))</x:f>
      </x:c>
    </x:row>
    <x:row r="616" ht="19" customHeight="1">
      <x:c r="A616" s="90" t="n">
        <x:f>MONATSBUDGET!$A$37</x:f>
        <x:v>47119</x:v>
      </x:c>
      <x:c r="B616" t="n">
        <x:f>17</x:f>
        <x:v>17</x:v>
      </x:c>
      <x:c r="C616" t="str">
        <x:f>IF($N$25="","",$N$25)</x:f>
      </x:c>
      <x:c r="D616" s="88" t="str">
        <x:f>IF(C616="","",I596)</x:f>
      </x:c>
      <x:c r="E616" s="88" t="str">
        <x:f>IF(C616="","",ROUND(D616*$P$25/12,2))</x:f>
      </x:c>
      <x:c r="F616" s="88" t="str">
        <x:f>IF(C616="","",MIN(D616+E616,$Q$25))</x:f>
      </x:c>
      <x:c r="G616" s="88" t="str">
        <x:f>IF(C616="","",MIN(MAX(0,D616+E616-F616),SUMIFS(SONDERZAHLUNGEN!$E$9:$E$128,SONDERZAHLUNGEN!$B$9:$B$128,C616,SONDERZAHLUNGEN!$C$9:$C$128,A616,SONDERZAHLUNGEN!$H$9:$H$128,"OK",SONDERZAHLUNGEN!$F$9:$F$128,"Ja")))</x:f>
      </x:c>
      <x:c r="H616" s="88" t="str">
        <x:f>IF(C616="","",MIN(MAX(0,D616+E616-F616-G616),MAX(0,IF(MONATSBUDGET!$C$37="",0,MONATSBUDGET!$C$37)-SUM(F600:F619)-SUM(H600:H615))))</x:f>
      </x:c>
      <x:c r="I616" s="88" t="str">
        <x:f>IF(C616="","",MAX(0,ROUND(D616+E616-F616-G616-H616,2)))</x:f>
      </x:c>
      <x:c r="J616" s="88" t="str">
        <x:f>IF(C616="","",F616+G616+H616)</x:f>
      </x:c>
      <x:c r="K616" s="88" t="str">
        <x:f>IF(C616="","",MAX(0,SUMIFS(SONDERZAHLUNGEN!$E$9:$E$128,SONDERZAHLUNGEN!$B$9:$B$128,C616,SONDERZAHLUNGEN!$C$9:$C$128,A616,SONDERZAHLUNGEN!$H$9:$H$128,"OK",SONDERZAHLUNGEN!$F$9:$F$128,"Ja")-G616))</x:f>
      </x:c>
    </x:row>
    <x:row r="617" ht="19" customHeight="1">
      <x:c r="A617" s="90" t="n">
        <x:f>MONATSBUDGET!$A$37</x:f>
        <x:v>47119</x:v>
      </x:c>
      <x:c r="B617" t="n">
        <x:f>18</x:f>
        <x:v>18</x:v>
      </x:c>
      <x:c r="C617" t="str">
        <x:f>IF($N$26="","",$N$26)</x:f>
      </x:c>
      <x:c r="D617" s="88" t="str">
        <x:f>IF(C617="","",I597)</x:f>
      </x:c>
      <x:c r="E617" s="88" t="str">
        <x:f>IF(C617="","",ROUND(D617*$P$26/12,2))</x:f>
      </x:c>
      <x:c r="F617" s="88" t="str">
        <x:f>IF(C617="","",MIN(D617+E617,$Q$26))</x:f>
      </x:c>
      <x:c r="G617" s="88" t="str">
        <x:f>IF(C617="","",MIN(MAX(0,D617+E617-F617),SUMIFS(SONDERZAHLUNGEN!$E$9:$E$128,SONDERZAHLUNGEN!$B$9:$B$128,C617,SONDERZAHLUNGEN!$C$9:$C$128,A617,SONDERZAHLUNGEN!$H$9:$H$128,"OK",SONDERZAHLUNGEN!$F$9:$F$128,"Ja")))</x:f>
      </x:c>
      <x:c r="H617" s="88" t="str">
        <x:f>IF(C617="","",MIN(MAX(0,D617+E617-F617-G617),MAX(0,IF(MONATSBUDGET!$C$37="",0,MONATSBUDGET!$C$37)-SUM(F600:F619)-SUM(H600:H616))))</x:f>
      </x:c>
      <x:c r="I617" s="88" t="str">
        <x:f>IF(C617="","",MAX(0,ROUND(D617+E617-F617-G617-H617,2)))</x:f>
      </x:c>
      <x:c r="J617" s="88" t="str">
        <x:f>IF(C617="","",F617+G617+H617)</x:f>
      </x:c>
      <x:c r="K617" s="88" t="str">
        <x:f>IF(C617="","",MAX(0,SUMIFS(SONDERZAHLUNGEN!$E$9:$E$128,SONDERZAHLUNGEN!$B$9:$B$128,C617,SONDERZAHLUNGEN!$C$9:$C$128,A617,SONDERZAHLUNGEN!$H$9:$H$128,"OK",SONDERZAHLUNGEN!$F$9:$F$128,"Ja")-G617))</x:f>
      </x:c>
    </x:row>
    <x:row r="618" ht="19" customHeight="1">
      <x:c r="A618" s="90" t="n">
        <x:f>MONATSBUDGET!$A$37</x:f>
        <x:v>47119</x:v>
      </x:c>
      <x:c r="B618" t="n">
        <x:f>19</x:f>
        <x:v>19</x:v>
      </x:c>
      <x:c r="C618" t="str">
        <x:f>IF($N$27="","",$N$27)</x:f>
      </x:c>
      <x:c r="D618" s="88" t="str">
        <x:f>IF(C618="","",I598)</x:f>
      </x:c>
      <x:c r="E618" s="88" t="str">
        <x:f>IF(C618="","",ROUND(D618*$P$27/12,2))</x:f>
      </x:c>
      <x:c r="F618" s="88" t="str">
        <x:f>IF(C618="","",MIN(D618+E618,$Q$27))</x:f>
      </x:c>
      <x:c r="G618" s="88" t="str">
        <x:f>IF(C618="","",MIN(MAX(0,D618+E618-F618),SUMIFS(SONDERZAHLUNGEN!$E$9:$E$128,SONDERZAHLUNGEN!$B$9:$B$128,C618,SONDERZAHLUNGEN!$C$9:$C$128,A618,SONDERZAHLUNGEN!$H$9:$H$128,"OK",SONDERZAHLUNGEN!$F$9:$F$128,"Ja")))</x:f>
      </x:c>
      <x:c r="H618" s="88" t="str">
        <x:f>IF(C618="","",MIN(MAX(0,D618+E618-F618-G618),MAX(0,IF(MONATSBUDGET!$C$37="",0,MONATSBUDGET!$C$37)-SUM(F600:F619)-SUM(H600:H617))))</x:f>
      </x:c>
      <x:c r="I618" s="88" t="str">
        <x:f>IF(C618="","",MAX(0,ROUND(D618+E618-F618-G618-H618,2)))</x:f>
      </x:c>
      <x:c r="J618" s="88" t="str">
        <x:f>IF(C618="","",F618+G618+H618)</x:f>
      </x:c>
      <x:c r="K618" s="88" t="str">
        <x:f>IF(C618="","",MAX(0,SUMIFS(SONDERZAHLUNGEN!$E$9:$E$128,SONDERZAHLUNGEN!$B$9:$B$128,C618,SONDERZAHLUNGEN!$C$9:$C$128,A618,SONDERZAHLUNGEN!$H$9:$H$128,"OK",SONDERZAHLUNGEN!$F$9:$F$128,"Ja")-G618))</x:f>
      </x:c>
    </x:row>
    <x:row r="619" ht="19" customHeight="1">
      <x:c r="A619" s="90" t="n">
        <x:f>MONATSBUDGET!$A$37</x:f>
        <x:v>47119</x:v>
      </x:c>
      <x:c r="B619" t="n">
        <x:f>20</x:f>
        <x:v>20</x:v>
      </x:c>
      <x:c r="C619" t="str">
        <x:f>IF($N$28="","",$N$28)</x:f>
      </x:c>
      <x:c r="D619" s="88" t="str">
        <x:f>IF(C619="","",I599)</x:f>
      </x:c>
      <x:c r="E619" s="88" t="str">
        <x:f>IF(C619="","",ROUND(D619*$P$28/12,2))</x:f>
      </x:c>
      <x:c r="F619" s="88" t="str">
        <x:f>IF(C619="","",MIN(D619+E619,$Q$28))</x:f>
      </x:c>
      <x:c r="G619" s="88" t="str">
        <x:f>IF(C619="","",MIN(MAX(0,D619+E619-F619),SUMIFS(SONDERZAHLUNGEN!$E$9:$E$128,SONDERZAHLUNGEN!$B$9:$B$128,C619,SONDERZAHLUNGEN!$C$9:$C$128,A619,SONDERZAHLUNGEN!$H$9:$H$128,"OK",SONDERZAHLUNGEN!$F$9:$F$128,"Ja")))</x:f>
      </x:c>
      <x:c r="H619" s="88" t="str">
        <x:f>IF(C619="","",MIN(MAX(0,D619+E619-F619-G619),MAX(0,IF(MONATSBUDGET!$C$37="",0,MONATSBUDGET!$C$37)-SUM(F600:F619)-SUM(H600:H618))))</x:f>
      </x:c>
      <x:c r="I619" s="88" t="str">
        <x:f>IF(C619="","",MAX(0,ROUND(D619+E619-F619-G619-H619,2)))</x:f>
      </x:c>
      <x:c r="J619" s="88" t="str">
        <x:f>IF(C619="","",F619+G619+H619)</x:f>
      </x:c>
      <x:c r="K619" s="88" t="str">
        <x:f>IF(C619="","",MAX(0,SUMIFS(SONDERZAHLUNGEN!$E$9:$E$128,SONDERZAHLUNGEN!$B$9:$B$128,C619,SONDERZAHLUNGEN!$C$9:$C$128,A619,SONDERZAHLUNGEN!$H$9:$H$128,"OK",SONDERZAHLUNGEN!$F$9:$F$128,"Ja")-G619))</x:f>
      </x:c>
    </x:row>
    <x:row r="620" ht="19" customHeight="1">
      <x:c r="A620" s="90" t="n">
        <x:f>MONATSBUDGET!$A$38</x:f>
        <x:v>47150</x:v>
      </x:c>
      <x:c r="B620" t="n">
        <x:f>1</x:f>
        <x:v>1</x:v>
      </x:c>
      <x:c r="C620" t="str">
        <x:f>IF($N$9="","",$N$9)</x:f>
      </x:c>
      <x:c r="D620" s="88" t="str">
        <x:f>IF(C620="","",I600)</x:f>
      </x:c>
      <x:c r="E620" s="88" t="str">
        <x:f>IF(C620="","",ROUND(D620*$P$9/12,2))</x:f>
      </x:c>
      <x:c r="F620" s="88" t="str">
        <x:f>IF(C620="","",MIN(D620+E620,$Q$9))</x:f>
      </x:c>
      <x:c r="G620" s="88" t="str">
        <x:f>IF(C620="","",MIN(MAX(0,D620+E620-F620),SUMIFS(SONDERZAHLUNGEN!$E$9:$E$128,SONDERZAHLUNGEN!$B$9:$B$128,C620,SONDERZAHLUNGEN!$C$9:$C$128,A620,SONDERZAHLUNGEN!$H$9:$H$128,"OK",SONDERZAHLUNGEN!$F$9:$F$128,"Ja")))</x:f>
      </x:c>
      <x:c r="H620" s="88" t="str">
        <x:f>IF(C620="","",MIN(MAX(0,D620+E620-F620-G620),MAX(0,IF(MONATSBUDGET!$C$38="",0,MONATSBUDGET!$C$38)-SUM(F620:F639)-0)))</x:f>
      </x:c>
      <x:c r="I620" s="88" t="str">
        <x:f>IF(C620="","",MAX(0,ROUND(D620+E620-F620-G620-H620,2)))</x:f>
      </x:c>
      <x:c r="J620" s="88" t="str">
        <x:f>IF(C620="","",F620+G620+H620)</x:f>
      </x:c>
      <x:c r="K620" s="88" t="str">
        <x:f>IF(C620="","",MAX(0,SUMIFS(SONDERZAHLUNGEN!$E$9:$E$128,SONDERZAHLUNGEN!$B$9:$B$128,C620,SONDERZAHLUNGEN!$C$9:$C$128,A620,SONDERZAHLUNGEN!$H$9:$H$128,"OK",SONDERZAHLUNGEN!$F$9:$F$128,"Ja")-G620))</x:f>
      </x:c>
    </x:row>
    <x:row r="621" ht="19" customHeight="1">
      <x:c r="A621" s="90" t="n">
        <x:f>MONATSBUDGET!$A$38</x:f>
        <x:v>47150</x:v>
      </x:c>
      <x:c r="B621" t="n">
        <x:f>2</x:f>
        <x:v>2</x:v>
      </x:c>
      <x:c r="C621" t="str">
        <x:f>IF($N$10="","",$N$10)</x:f>
      </x:c>
      <x:c r="D621" s="88" t="str">
        <x:f>IF(C621="","",I601)</x:f>
      </x:c>
      <x:c r="E621" s="88" t="str">
        <x:f>IF(C621="","",ROUND(D621*$P$10/12,2))</x:f>
      </x:c>
      <x:c r="F621" s="88" t="str">
        <x:f>IF(C621="","",MIN(D621+E621,$Q$10))</x:f>
      </x:c>
      <x:c r="G621" s="88" t="str">
        <x:f>IF(C621="","",MIN(MAX(0,D621+E621-F621),SUMIFS(SONDERZAHLUNGEN!$E$9:$E$128,SONDERZAHLUNGEN!$B$9:$B$128,C621,SONDERZAHLUNGEN!$C$9:$C$128,A621,SONDERZAHLUNGEN!$H$9:$H$128,"OK",SONDERZAHLUNGEN!$F$9:$F$128,"Ja")))</x:f>
      </x:c>
      <x:c r="H621" s="88" t="str">
        <x:f>IF(C621="","",MIN(MAX(0,D621+E621-F621-G621),MAX(0,IF(MONATSBUDGET!$C$38="",0,MONATSBUDGET!$C$38)-SUM(F620:F639)-SUM(H620:H620))))</x:f>
      </x:c>
      <x:c r="I621" s="88" t="str">
        <x:f>IF(C621="","",MAX(0,ROUND(D621+E621-F621-G621-H621,2)))</x:f>
      </x:c>
      <x:c r="J621" s="88" t="str">
        <x:f>IF(C621="","",F621+G621+H621)</x:f>
      </x:c>
      <x:c r="K621" s="88" t="str">
        <x:f>IF(C621="","",MAX(0,SUMIFS(SONDERZAHLUNGEN!$E$9:$E$128,SONDERZAHLUNGEN!$B$9:$B$128,C621,SONDERZAHLUNGEN!$C$9:$C$128,A621,SONDERZAHLUNGEN!$H$9:$H$128,"OK",SONDERZAHLUNGEN!$F$9:$F$128,"Ja")-G621))</x:f>
      </x:c>
    </x:row>
    <x:row r="622" ht="19" customHeight="1">
      <x:c r="A622" s="90" t="n">
        <x:f>MONATSBUDGET!$A$38</x:f>
        <x:v>47150</x:v>
      </x:c>
      <x:c r="B622" t="n">
        <x:f>3</x:f>
        <x:v>3</x:v>
      </x:c>
      <x:c r="C622" t="str">
        <x:f>IF($N$11="","",$N$11)</x:f>
      </x:c>
      <x:c r="D622" s="88" t="str">
        <x:f>IF(C622="","",I602)</x:f>
      </x:c>
      <x:c r="E622" s="88" t="str">
        <x:f>IF(C622="","",ROUND(D622*$P$11/12,2))</x:f>
      </x:c>
      <x:c r="F622" s="88" t="str">
        <x:f>IF(C622="","",MIN(D622+E622,$Q$11))</x:f>
      </x:c>
      <x:c r="G622" s="88" t="str">
        <x:f>IF(C622="","",MIN(MAX(0,D622+E622-F622),SUMIFS(SONDERZAHLUNGEN!$E$9:$E$128,SONDERZAHLUNGEN!$B$9:$B$128,C622,SONDERZAHLUNGEN!$C$9:$C$128,A622,SONDERZAHLUNGEN!$H$9:$H$128,"OK",SONDERZAHLUNGEN!$F$9:$F$128,"Ja")))</x:f>
      </x:c>
      <x:c r="H622" s="88" t="str">
        <x:f>IF(C622="","",MIN(MAX(0,D622+E622-F622-G622),MAX(0,IF(MONATSBUDGET!$C$38="",0,MONATSBUDGET!$C$38)-SUM(F620:F639)-SUM(H620:H621))))</x:f>
      </x:c>
      <x:c r="I622" s="88" t="str">
        <x:f>IF(C622="","",MAX(0,ROUND(D622+E622-F622-G622-H622,2)))</x:f>
      </x:c>
      <x:c r="J622" s="88" t="str">
        <x:f>IF(C622="","",F622+G622+H622)</x:f>
      </x:c>
      <x:c r="K622" s="88" t="str">
        <x:f>IF(C622="","",MAX(0,SUMIFS(SONDERZAHLUNGEN!$E$9:$E$128,SONDERZAHLUNGEN!$B$9:$B$128,C622,SONDERZAHLUNGEN!$C$9:$C$128,A622,SONDERZAHLUNGEN!$H$9:$H$128,"OK",SONDERZAHLUNGEN!$F$9:$F$128,"Ja")-G622))</x:f>
      </x:c>
    </x:row>
    <x:row r="623" ht="19" customHeight="1">
      <x:c r="A623" s="90" t="n">
        <x:f>MONATSBUDGET!$A$38</x:f>
        <x:v>47150</x:v>
      </x:c>
      <x:c r="B623" t="n">
        <x:f>4</x:f>
        <x:v>4</x:v>
      </x:c>
      <x:c r="C623" t="str">
        <x:f>IF($N$12="","",$N$12)</x:f>
      </x:c>
      <x:c r="D623" s="88" t="str">
        <x:f>IF(C623="","",I603)</x:f>
      </x:c>
      <x:c r="E623" s="88" t="str">
        <x:f>IF(C623="","",ROUND(D623*$P$12/12,2))</x:f>
      </x:c>
      <x:c r="F623" s="88" t="str">
        <x:f>IF(C623="","",MIN(D623+E623,$Q$12))</x:f>
      </x:c>
      <x:c r="G623" s="88" t="str">
        <x:f>IF(C623="","",MIN(MAX(0,D623+E623-F623),SUMIFS(SONDERZAHLUNGEN!$E$9:$E$128,SONDERZAHLUNGEN!$B$9:$B$128,C623,SONDERZAHLUNGEN!$C$9:$C$128,A623,SONDERZAHLUNGEN!$H$9:$H$128,"OK",SONDERZAHLUNGEN!$F$9:$F$128,"Ja")))</x:f>
      </x:c>
      <x:c r="H623" s="88" t="str">
        <x:f>IF(C623="","",MIN(MAX(0,D623+E623-F623-G623),MAX(0,IF(MONATSBUDGET!$C$38="",0,MONATSBUDGET!$C$38)-SUM(F620:F639)-SUM(H620:H622))))</x:f>
      </x:c>
      <x:c r="I623" s="88" t="str">
        <x:f>IF(C623="","",MAX(0,ROUND(D623+E623-F623-G623-H623,2)))</x:f>
      </x:c>
      <x:c r="J623" s="88" t="str">
        <x:f>IF(C623="","",F623+G623+H623)</x:f>
      </x:c>
      <x:c r="K623" s="88" t="str">
        <x:f>IF(C623="","",MAX(0,SUMIFS(SONDERZAHLUNGEN!$E$9:$E$128,SONDERZAHLUNGEN!$B$9:$B$128,C623,SONDERZAHLUNGEN!$C$9:$C$128,A623,SONDERZAHLUNGEN!$H$9:$H$128,"OK",SONDERZAHLUNGEN!$F$9:$F$128,"Ja")-G623))</x:f>
      </x:c>
    </x:row>
    <x:row r="624" ht="19" customHeight="1">
      <x:c r="A624" s="90" t="n">
        <x:f>MONATSBUDGET!$A$38</x:f>
        <x:v>47150</x:v>
      </x:c>
      <x:c r="B624" t="n">
        <x:f>5</x:f>
        <x:v>5</x:v>
      </x:c>
      <x:c r="C624" t="str">
        <x:f>IF($N$13="","",$N$13)</x:f>
      </x:c>
      <x:c r="D624" s="88" t="str">
        <x:f>IF(C624="","",I604)</x:f>
      </x:c>
      <x:c r="E624" s="88" t="str">
        <x:f>IF(C624="","",ROUND(D624*$P$13/12,2))</x:f>
      </x:c>
      <x:c r="F624" s="88" t="str">
        <x:f>IF(C624="","",MIN(D624+E624,$Q$13))</x:f>
      </x:c>
      <x:c r="G624" s="88" t="str">
        <x:f>IF(C624="","",MIN(MAX(0,D624+E624-F624),SUMIFS(SONDERZAHLUNGEN!$E$9:$E$128,SONDERZAHLUNGEN!$B$9:$B$128,C624,SONDERZAHLUNGEN!$C$9:$C$128,A624,SONDERZAHLUNGEN!$H$9:$H$128,"OK",SONDERZAHLUNGEN!$F$9:$F$128,"Ja")))</x:f>
      </x:c>
      <x:c r="H624" s="88" t="str">
        <x:f>IF(C624="","",MIN(MAX(0,D624+E624-F624-G624),MAX(0,IF(MONATSBUDGET!$C$38="",0,MONATSBUDGET!$C$38)-SUM(F620:F639)-SUM(H620:H623))))</x:f>
      </x:c>
      <x:c r="I624" s="88" t="str">
        <x:f>IF(C624="","",MAX(0,ROUND(D624+E624-F624-G624-H624,2)))</x:f>
      </x:c>
      <x:c r="J624" s="88" t="str">
        <x:f>IF(C624="","",F624+G624+H624)</x:f>
      </x:c>
      <x:c r="K624" s="88" t="str">
        <x:f>IF(C624="","",MAX(0,SUMIFS(SONDERZAHLUNGEN!$E$9:$E$128,SONDERZAHLUNGEN!$B$9:$B$128,C624,SONDERZAHLUNGEN!$C$9:$C$128,A624,SONDERZAHLUNGEN!$H$9:$H$128,"OK",SONDERZAHLUNGEN!$F$9:$F$128,"Ja")-G624))</x:f>
      </x:c>
    </x:row>
    <x:row r="625" ht="19" customHeight="1">
      <x:c r="A625" s="90" t="n">
        <x:f>MONATSBUDGET!$A$38</x:f>
        <x:v>47150</x:v>
      </x:c>
      <x:c r="B625" t="n">
        <x:f>6</x:f>
        <x:v>6</x:v>
      </x:c>
      <x:c r="C625" t="str">
        <x:f>IF($N$14="","",$N$14)</x:f>
      </x:c>
      <x:c r="D625" s="88" t="str">
        <x:f>IF(C625="","",I605)</x:f>
      </x:c>
      <x:c r="E625" s="88" t="str">
        <x:f>IF(C625="","",ROUND(D625*$P$14/12,2))</x:f>
      </x:c>
      <x:c r="F625" s="88" t="str">
        <x:f>IF(C625="","",MIN(D625+E625,$Q$14))</x:f>
      </x:c>
      <x:c r="G625" s="88" t="str">
        <x:f>IF(C625="","",MIN(MAX(0,D625+E625-F625),SUMIFS(SONDERZAHLUNGEN!$E$9:$E$128,SONDERZAHLUNGEN!$B$9:$B$128,C625,SONDERZAHLUNGEN!$C$9:$C$128,A625,SONDERZAHLUNGEN!$H$9:$H$128,"OK",SONDERZAHLUNGEN!$F$9:$F$128,"Ja")))</x:f>
      </x:c>
      <x:c r="H625" s="88" t="str">
        <x:f>IF(C625="","",MIN(MAX(0,D625+E625-F625-G625),MAX(0,IF(MONATSBUDGET!$C$38="",0,MONATSBUDGET!$C$38)-SUM(F620:F639)-SUM(H620:H624))))</x:f>
      </x:c>
      <x:c r="I625" s="88" t="str">
        <x:f>IF(C625="","",MAX(0,ROUND(D625+E625-F625-G625-H625,2)))</x:f>
      </x:c>
      <x:c r="J625" s="88" t="str">
        <x:f>IF(C625="","",F625+G625+H625)</x:f>
      </x:c>
      <x:c r="K625" s="88" t="str">
        <x:f>IF(C625="","",MAX(0,SUMIFS(SONDERZAHLUNGEN!$E$9:$E$128,SONDERZAHLUNGEN!$B$9:$B$128,C625,SONDERZAHLUNGEN!$C$9:$C$128,A625,SONDERZAHLUNGEN!$H$9:$H$128,"OK",SONDERZAHLUNGEN!$F$9:$F$128,"Ja")-G625))</x:f>
      </x:c>
    </x:row>
    <x:row r="626" ht="19" customHeight="1">
      <x:c r="A626" s="90" t="n">
        <x:f>MONATSBUDGET!$A$38</x:f>
        <x:v>47150</x:v>
      </x:c>
      <x:c r="B626" t="n">
        <x:f>7</x:f>
        <x:v>7</x:v>
      </x:c>
      <x:c r="C626" t="str">
        <x:f>IF($N$15="","",$N$15)</x:f>
      </x:c>
      <x:c r="D626" s="88" t="str">
        <x:f>IF(C626="","",I606)</x:f>
      </x:c>
      <x:c r="E626" s="88" t="str">
        <x:f>IF(C626="","",ROUND(D626*$P$15/12,2))</x:f>
      </x:c>
      <x:c r="F626" s="88" t="str">
        <x:f>IF(C626="","",MIN(D626+E626,$Q$15))</x:f>
      </x:c>
      <x:c r="G626" s="88" t="str">
        <x:f>IF(C626="","",MIN(MAX(0,D626+E626-F626),SUMIFS(SONDERZAHLUNGEN!$E$9:$E$128,SONDERZAHLUNGEN!$B$9:$B$128,C626,SONDERZAHLUNGEN!$C$9:$C$128,A626,SONDERZAHLUNGEN!$H$9:$H$128,"OK",SONDERZAHLUNGEN!$F$9:$F$128,"Ja")))</x:f>
      </x:c>
      <x:c r="H626" s="88" t="str">
        <x:f>IF(C626="","",MIN(MAX(0,D626+E626-F626-G626),MAX(0,IF(MONATSBUDGET!$C$38="",0,MONATSBUDGET!$C$38)-SUM(F620:F639)-SUM(H620:H625))))</x:f>
      </x:c>
      <x:c r="I626" s="88" t="str">
        <x:f>IF(C626="","",MAX(0,ROUND(D626+E626-F626-G626-H626,2)))</x:f>
      </x:c>
      <x:c r="J626" s="88" t="str">
        <x:f>IF(C626="","",F626+G626+H626)</x:f>
      </x:c>
      <x:c r="K626" s="88" t="str">
        <x:f>IF(C626="","",MAX(0,SUMIFS(SONDERZAHLUNGEN!$E$9:$E$128,SONDERZAHLUNGEN!$B$9:$B$128,C626,SONDERZAHLUNGEN!$C$9:$C$128,A626,SONDERZAHLUNGEN!$H$9:$H$128,"OK",SONDERZAHLUNGEN!$F$9:$F$128,"Ja")-G626))</x:f>
      </x:c>
    </x:row>
    <x:row r="627" ht="19" customHeight="1">
      <x:c r="A627" s="90" t="n">
        <x:f>MONATSBUDGET!$A$38</x:f>
        <x:v>47150</x:v>
      </x:c>
      <x:c r="B627" t="n">
        <x:f>8</x:f>
        <x:v>8</x:v>
      </x:c>
      <x:c r="C627" t="str">
        <x:f>IF($N$16="","",$N$16)</x:f>
      </x:c>
      <x:c r="D627" s="88" t="str">
        <x:f>IF(C627="","",I607)</x:f>
      </x:c>
      <x:c r="E627" s="88" t="str">
        <x:f>IF(C627="","",ROUND(D627*$P$16/12,2))</x:f>
      </x:c>
      <x:c r="F627" s="88" t="str">
        <x:f>IF(C627="","",MIN(D627+E627,$Q$16))</x:f>
      </x:c>
      <x:c r="G627" s="88" t="str">
        <x:f>IF(C627="","",MIN(MAX(0,D627+E627-F627),SUMIFS(SONDERZAHLUNGEN!$E$9:$E$128,SONDERZAHLUNGEN!$B$9:$B$128,C627,SONDERZAHLUNGEN!$C$9:$C$128,A627,SONDERZAHLUNGEN!$H$9:$H$128,"OK",SONDERZAHLUNGEN!$F$9:$F$128,"Ja")))</x:f>
      </x:c>
      <x:c r="H627" s="88" t="str">
        <x:f>IF(C627="","",MIN(MAX(0,D627+E627-F627-G627),MAX(0,IF(MONATSBUDGET!$C$38="",0,MONATSBUDGET!$C$38)-SUM(F620:F639)-SUM(H620:H626))))</x:f>
      </x:c>
      <x:c r="I627" s="88" t="str">
        <x:f>IF(C627="","",MAX(0,ROUND(D627+E627-F627-G627-H627,2)))</x:f>
      </x:c>
      <x:c r="J627" s="88" t="str">
        <x:f>IF(C627="","",F627+G627+H627)</x:f>
      </x:c>
      <x:c r="K627" s="88" t="str">
        <x:f>IF(C627="","",MAX(0,SUMIFS(SONDERZAHLUNGEN!$E$9:$E$128,SONDERZAHLUNGEN!$B$9:$B$128,C627,SONDERZAHLUNGEN!$C$9:$C$128,A627,SONDERZAHLUNGEN!$H$9:$H$128,"OK",SONDERZAHLUNGEN!$F$9:$F$128,"Ja")-G627))</x:f>
      </x:c>
    </x:row>
    <x:row r="628" ht="19" customHeight="1">
      <x:c r="A628" s="90" t="n">
        <x:f>MONATSBUDGET!$A$38</x:f>
        <x:v>47150</x:v>
      </x:c>
      <x:c r="B628" t="n">
        <x:f>9</x:f>
        <x:v>9</x:v>
      </x:c>
      <x:c r="C628" t="str">
        <x:f>IF($N$17="","",$N$17)</x:f>
      </x:c>
      <x:c r="D628" s="88" t="str">
        <x:f>IF(C628="","",I608)</x:f>
      </x:c>
      <x:c r="E628" s="88" t="str">
        <x:f>IF(C628="","",ROUND(D628*$P$17/12,2))</x:f>
      </x:c>
      <x:c r="F628" s="88" t="str">
        <x:f>IF(C628="","",MIN(D628+E628,$Q$17))</x:f>
      </x:c>
      <x:c r="G628" s="88" t="str">
        <x:f>IF(C628="","",MIN(MAX(0,D628+E628-F628),SUMIFS(SONDERZAHLUNGEN!$E$9:$E$128,SONDERZAHLUNGEN!$B$9:$B$128,C628,SONDERZAHLUNGEN!$C$9:$C$128,A628,SONDERZAHLUNGEN!$H$9:$H$128,"OK",SONDERZAHLUNGEN!$F$9:$F$128,"Ja")))</x:f>
      </x:c>
      <x:c r="H628" s="88" t="str">
        <x:f>IF(C628="","",MIN(MAX(0,D628+E628-F628-G628),MAX(0,IF(MONATSBUDGET!$C$38="",0,MONATSBUDGET!$C$38)-SUM(F620:F639)-SUM(H620:H627))))</x:f>
      </x:c>
      <x:c r="I628" s="88" t="str">
        <x:f>IF(C628="","",MAX(0,ROUND(D628+E628-F628-G628-H628,2)))</x:f>
      </x:c>
      <x:c r="J628" s="88" t="str">
        <x:f>IF(C628="","",F628+G628+H628)</x:f>
      </x:c>
      <x:c r="K628" s="88" t="str">
        <x:f>IF(C628="","",MAX(0,SUMIFS(SONDERZAHLUNGEN!$E$9:$E$128,SONDERZAHLUNGEN!$B$9:$B$128,C628,SONDERZAHLUNGEN!$C$9:$C$128,A628,SONDERZAHLUNGEN!$H$9:$H$128,"OK",SONDERZAHLUNGEN!$F$9:$F$128,"Ja")-G628))</x:f>
      </x:c>
    </x:row>
    <x:row r="629" ht="19" customHeight="1">
      <x:c r="A629" s="90" t="n">
        <x:f>MONATSBUDGET!$A$38</x:f>
        <x:v>47150</x:v>
      </x:c>
      <x:c r="B629" t="n">
        <x:f>10</x:f>
        <x:v>10</x:v>
      </x:c>
      <x:c r="C629" t="str">
        <x:f>IF($N$18="","",$N$18)</x:f>
      </x:c>
      <x:c r="D629" s="88" t="str">
        <x:f>IF(C629="","",I609)</x:f>
      </x:c>
      <x:c r="E629" s="88" t="str">
        <x:f>IF(C629="","",ROUND(D629*$P$18/12,2))</x:f>
      </x:c>
      <x:c r="F629" s="88" t="str">
        <x:f>IF(C629="","",MIN(D629+E629,$Q$18))</x:f>
      </x:c>
      <x:c r="G629" s="88" t="str">
        <x:f>IF(C629="","",MIN(MAX(0,D629+E629-F629),SUMIFS(SONDERZAHLUNGEN!$E$9:$E$128,SONDERZAHLUNGEN!$B$9:$B$128,C629,SONDERZAHLUNGEN!$C$9:$C$128,A629,SONDERZAHLUNGEN!$H$9:$H$128,"OK",SONDERZAHLUNGEN!$F$9:$F$128,"Ja")))</x:f>
      </x:c>
      <x:c r="H629" s="88" t="str">
        <x:f>IF(C629="","",MIN(MAX(0,D629+E629-F629-G629),MAX(0,IF(MONATSBUDGET!$C$38="",0,MONATSBUDGET!$C$38)-SUM(F620:F639)-SUM(H620:H628))))</x:f>
      </x:c>
      <x:c r="I629" s="88" t="str">
        <x:f>IF(C629="","",MAX(0,ROUND(D629+E629-F629-G629-H629,2)))</x:f>
      </x:c>
      <x:c r="J629" s="88" t="str">
        <x:f>IF(C629="","",F629+G629+H629)</x:f>
      </x:c>
      <x:c r="K629" s="88" t="str">
        <x:f>IF(C629="","",MAX(0,SUMIFS(SONDERZAHLUNGEN!$E$9:$E$128,SONDERZAHLUNGEN!$B$9:$B$128,C629,SONDERZAHLUNGEN!$C$9:$C$128,A629,SONDERZAHLUNGEN!$H$9:$H$128,"OK",SONDERZAHLUNGEN!$F$9:$F$128,"Ja")-G629))</x:f>
      </x:c>
    </x:row>
    <x:row r="630" ht="19" customHeight="1">
      <x:c r="A630" s="90" t="n">
        <x:f>MONATSBUDGET!$A$38</x:f>
        <x:v>47150</x:v>
      </x:c>
      <x:c r="B630" t="n">
        <x:f>11</x:f>
        <x:v>11</x:v>
      </x:c>
      <x:c r="C630" t="str">
        <x:f>IF($N$19="","",$N$19)</x:f>
      </x:c>
      <x:c r="D630" s="88" t="str">
        <x:f>IF(C630="","",I610)</x:f>
      </x:c>
      <x:c r="E630" s="88" t="str">
        <x:f>IF(C630="","",ROUND(D630*$P$19/12,2))</x:f>
      </x:c>
      <x:c r="F630" s="88" t="str">
        <x:f>IF(C630="","",MIN(D630+E630,$Q$19))</x:f>
      </x:c>
      <x:c r="G630" s="88" t="str">
        <x:f>IF(C630="","",MIN(MAX(0,D630+E630-F630),SUMIFS(SONDERZAHLUNGEN!$E$9:$E$128,SONDERZAHLUNGEN!$B$9:$B$128,C630,SONDERZAHLUNGEN!$C$9:$C$128,A630,SONDERZAHLUNGEN!$H$9:$H$128,"OK",SONDERZAHLUNGEN!$F$9:$F$128,"Ja")))</x:f>
      </x:c>
      <x:c r="H630" s="88" t="str">
        <x:f>IF(C630="","",MIN(MAX(0,D630+E630-F630-G630),MAX(0,IF(MONATSBUDGET!$C$38="",0,MONATSBUDGET!$C$38)-SUM(F620:F639)-SUM(H620:H629))))</x:f>
      </x:c>
      <x:c r="I630" s="88" t="str">
        <x:f>IF(C630="","",MAX(0,ROUND(D630+E630-F630-G630-H630,2)))</x:f>
      </x:c>
      <x:c r="J630" s="88" t="str">
        <x:f>IF(C630="","",F630+G630+H630)</x:f>
      </x:c>
      <x:c r="K630" s="88" t="str">
        <x:f>IF(C630="","",MAX(0,SUMIFS(SONDERZAHLUNGEN!$E$9:$E$128,SONDERZAHLUNGEN!$B$9:$B$128,C630,SONDERZAHLUNGEN!$C$9:$C$128,A630,SONDERZAHLUNGEN!$H$9:$H$128,"OK",SONDERZAHLUNGEN!$F$9:$F$128,"Ja")-G630))</x:f>
      </x:c>
    </x:row>
    <x:row r="631" ht="19" customHeight="1">
      <x:c r="A631" s="90" t="n">
        <x:f>MONATSBUDGET!$A$38</x:f>
        <x:v>47150</x:v>
      </x:c>
      <x:c r="B631" t="n">
        <x:f>12</x:f>
        <x:v>12</x:v>
      </x:c>
      <x:c r="C631" t="str">
        <x:f>IF($N$20="","",$N$20)</x:f>
      </x:c>
      <x:c r="D631" s="88" t="str">
        <x:f>IF(C631="","",I611)</x:f>
      </x:c>
      <x:c r="E631" s="88" t="str">
        <x:f>IF(C631="","",ROUND(D631*$P$20/12,2))</x:f>
      </x:c>
      <x:c r="F631" s="88" t="str">
        <x:f>IF(C631="","",MIN(D631+E631,$Q$20))</x:f>
      </x:c>
      <x:c r="G631" s="88" t="str">
        <x:f>IF(C631="","",MIN(MAX(0,D631+E631-F631),SUMIFS(SONDERZAHLUNGEN!$E$9:$E$128,SONDERZAHLUNGEN!$B$9:$B$128,C631,SONDERZAHLUNGEN!$C$9:$C$128,A631,SONDERZAHLUNGEN!$H$9:$H$128,"OK",SONDERZAHLUNGEN!$F$9:$F$128,"Ja")))</x:f>
      </x:c>
      <x:c r="H631" s="88" t="str">
        <x:f>IF(C631="","",MIN(MAX(0,D631+E631-F631-G631),MAX(0,IF(MONATSBUDGET!$C$38="",0,MONATSBUDGET!$C$38)-SUM(F620:F639)-SUM(H620:H630))))</x:f>
      </x:c>
      <x:c r="I631" s="88" t="str">
        <x:f>IF(C631="","",MAX(0,ROUND(D631+E631-F631-G631-H631,2)))</x:f>
      </x:c>
      <x:c r="J631" s="88" t="str">
        <x:f>IF(C631="","",F631+G631+H631)</x:f>
      </x:c>
      <x:c r="K631" s="88" t="str">
        <x:f>IF(C631="","",MAX(0,SUMIFS(SONDERZAHLUNGEN!$E$9:$E$128,SONDERZAHLUNGEN!$B$9:$B$128,C631,SONDERZAHLUNGEN!$C$9:$C$128,A631,SONDERZAHLUNGEN!$H$9:$H$128,"OK",SONDERZAHLUNGEN!$F$9:$F$128,"Ja")-G631))</x:f>
      </x:c>
    </x:row>
    <x:row r="632" ht="19" customHeight="1">
      <x:c r="A632" s="90" t="n">
        <x:f>MONATSBUDGET!$A$38</x:f>
        <x:v>47150</x:v>
      </x:c>
      <x:c r="B632" t="n">
        <x:f>13</x:f>
        <x:v>13</x:v>
      </x:c>
      <x:c r="C632" t="str">
        <x:f>IF($N$21="","",$N$21)</x:f>
      </x:c>
      <x:c r="D632" s="88" t="str">
        <x:f>IF(C632="","",I612)</x:f>
      </x:c>
      <x:c r="E632" s="88" t="str">
        <x:f>IF(C632="","",ROUND(D632*$P$21/12,2))</x:f>
      </x:c>
      <x:c r="F632" s="88" t="str">
        <x:f>IF(C632="","",MIN(D632+E632,$Q$21))</x:f>
      </x:c>
      <x:c r="G632" s="88" t="str">
        <x:f>IF(C632="","",MIN(MAX(0,D632+E632-F632),SUMIFS(SONDERZAHLUNGEN!$E$9:$E$128,SONDERZAHLUNGEN!$B$9:$B$128,C632,SONDERZAHLUNGEN!$C$9:$C$128,A632,SONDERZAHLUNGEN!$H$9:$H$128,"OK",SONDERZAHLUNGEN!$F$9:$F$128,"Ja")))</x:f>
      </x:c>
      <x:c r="H632" s="88" t="str">
        <x:f>IF(C632="","",MIN(MAX(0,D632+E632-F632-G632),MAX(0,IF(MONATSBUDGET!$C$38="",0,MONATSBUDGET!$C$38)-SUM(F620:F639)-SUM(H620:H631))))</x:f>
      </x:c>
      <x:c r="I632" s="88" t="str">
        <x:f>IF(C632="","",MAX(0,ROUND(D632+E632-F632-G632-H632,2)))</x:f>
      </x:c>
      <x:c r="J632" s="88" t="str">
        <x:f>IF(C632="","",F632+G632+H632)</x:f>
      </x:c>
      <x:c r="K632" s="88" t="str">
        <x:f>IF(C632="","",MAX(0,SUMIFS(SONDERZAHLUNGEN!$E$9:$E$128,SONDERZAHLUNGEN!$B$9:$B$128,C632,SONDERZAHLUNGEN!$C$9:$C$128,A632,SONDERZAHLUNGEN!$H$9:$H$128,"OK",SONDERZAHLUNGEN!$F$9:$F$128,"Ja")-G632))</x:f>
      </x:c>
    </x:row>
    <x:row r="633" ht="19" customHeight="1">
      <x:c r="A633" s="90" t="n">
        <x:f>MONATSBUDGET!$A$38</x:f>
        <x:v>47150</x:v>
      </x:c>
      <x:c r="B633" t="n">
        <x:f>14</x:f>
        <x:v>14</x:v>
      </x:c>
      <x:c r="C633" t="str">
        <x:f>IF($N$22="","",$N$22)</x:f>
      </x:c>
      <x:c r="D633" s="88" t="str">
        <x:f>IF(C633="","",I613)</x:f>
      </x:c>
      <x:c r="E633" s="88" t="str">
        <x:f>IF(C633="","",ROUND(D633*$P$22/12,2))</x:f>
      </x:c>
      <x:c r="F633" s="88" t="str">
        <x:f>IF(C633="","",MIN(D633+E633,$Q$22))</x:f>
      </x:c>
      <x:c r="G633" s="88" t="str">
        <x:f>IF(C633="","",MIN(MAX(0,D633+E633-F633),SUMIFS(SONDERZAHLUNGEN!$E$9:$E$128,SONDERZAHLUNGEN!$B$9:$B$128,C633,SONDERZAHLUNGEN!$C$9:$C$128,A633,SONDERZAHLUNGEN!$H$9:$H$128,"OK",SONDERZAHLUNGEN!$F$9:$F$128,"Ja")))</x:f>
      </x:c>
      <x:c r="H633" s="88" t="str">
        <x:f>IF(C633="","",MIN(MAX(0,D633+E633-F633-G633),MAX(0,IF(MONATSBUDGET!$C$38="",0,MONATSBUDGET!$C$38)-SUM(F620:F639)-SUM(H620:H632))))</x:f>
      </x:c>
      <x:c r="I633" s="88" t="str">
        <x:f>IF(C633="","",MAX(0,ROUND(D633+E633-F633-G633-H633,2)))</x:f>
      </x:c>
      <x:c r="J633" s="88" t="str">
        <x:f>IF(C633="","",F633+G633+H633)</x:f>
      </x:c>
      <x:c r="K633" s="88" t="str">
        <x:f>IF(C633="","",MAX(0,SUMIFS(SONDERZAHLUNGEN!$E$9:$E$128,SONDERZAHLUNGEN!$B$9:$B$128,C633,SONDERZAHLUNGEN!$C$9:$C$128,A633,SONDERZAHLUNGEN!$H$9:$H$128,"OK",SONDERZAHLUNGEN!$F$9:$F$128,"Ja")-G633))</x:f>
      </x:c>
    </x:row>
    <x:row r="634" ht="19" customHeight="1">
      <x:c r="A634" s="90" t="n">
        <x:f>MONATSBUDGET!$A$38</x:f>
        <x:v>47150</x:v>
      </x:c>
      <x:c r="B634" t="n">
        <x:f>15</x:f>
        <x:v>15</x:v>
      </x:c>
      <x:c r="C634" t="str">
        <x:f>IF($N$23="","",$N$23)</x:f>
      </x:c>
      <x:c r="D634" s="88" t="str">
        <x:f>IF(C634="","",I614)</x:f>
      </x:c>
      <x:c r="E634" s="88" t="str">
        <x:f>IF(C634="","",ROUND(D634*$P$23/12,2))</x:f>
      </x:c>
      <x:c r="F634" s="88" t="str">
        <x:f>IF(C634="","",MIN(D634+E634,$Q$23))</x:f>
      </x:c>
      <x:c r="G634" s="88" t="str">
        <x:f>IF(C634="","",MIN(MAX(0,D634+E634-F634),SUMIFS(SONDERZAHLUNGEN!$E$9:$E$128,SONDERZAHLUNGEN!$B$9:$B$128,C634,SONDERZAHLUNGEN!$C$9:$C$128,A634,SONDERZAHLUNGEN!$H$9:$H$128,"OK",SONDERZAHLUNGEN!$F$9:$F$128,"Ja")))</x:f>
      </x:c>
      <x:c r="H634" s="88" t="str">
        <x:f>IF(C634="","",MIN(MAX(0,D634+E634-F634-G634),MAX(0,IF(MONATSBUDGET!$C$38="",0,MONATSBUDGET!$C$38)-SUM(F620:F639)-SUM(H620:H633))))</x:f>
      </x:c>
      <x:c r="I634" s="88" t="str">
        <x:f>IF(C634="","",MAX(0,ROUND(D634+E634-F634-G634-H634,2)))</x:f>
      </x:c>
      <x:c r="J634" s="88" t="str">
        <x:f>IF(C634="","",F634+G634+H634)</x:f>
      </x:c>
      <x:c r="K634" s="88" t="str">
        <x:f>IF(C634="","",MAX(0,SUMIFS(SONDERZAHLUNGEN!$E$9:$E$128,SONDERZAHLUNGEN!$B$9:$B$128,C634,SONDERZAHLUNGEN!$C$9:$C$128,A634,SONDERZAHLUNGEN!$H$9:$H$128,"OK",SONDERZAHLUNGEN!$F$9:$F$128,"Ja")-G634))</x:f>
      </x:c>
    </x:row>
    <x:row r="635" ht="19" customHeight="1">
      <x:c r="A635" s="90" t="n">
        <x:f>MONATSBUDGET!$A$38</x:f>
        <x:v>47150</x:v>
      </x:c>
      <x:c r="B635" t="n">
        <x:f>16</x:f>
        <x:v>16</x:v>
      </x:c>
      <x:c r="C635" t="str">
        <x:f>IF($N$24="","",$N$24)</x:f>
      </x:c>
      <x:c r="D635" s="88" t="str">
        <x:f>IF(C635="","",I615)</x:f>
      </x:c>
      <x:c r="E635" s="88" t="str">
        <x:f>IF(C635="","",ROUND(D635*$P$24/12,2))</x:f>
      </x:c>
      <x:c r="F635" s="88" t="str">
        <x:f>IF(C635="","",MIN(D635+E635,$Q$24))</x:f>
      </x:c>
      <x:c r="G635" s="88" t="str">
        <x:f>IF(C635="","",MIN(MAX(0,D635+E635-F635),SUMIFS(SONDERZAHLUNGEN!$E$9:$E$128,SONDERZAHLUNGEN!$B$9:$B$128,C635,SONDERZAHLUNGEN!$C$9:$C$128,A635,SONDERZAHLUNGEN!$H$9:$H$128,"OK",SONDERZAHLUNGEN!$F$9:$F$128,"Ja")))</x:f>
      </x:c>
      <x:c r="H635" s="88" t="str">
        <x:f>IF(C635="","",MIN(MAX(0,D635+E635-F635-G635),MAX(0,IF(MONATSBUDGET!$C$38="",0,MONATSBUDGET!$C$38)-SUM(F620:F639)-SUM(H620:H634))))</x:f>
      </x:c>
      <x:c r="I635" s="88" t="str">
        <x:f>IF(C635="","",MAX(0,ROUND(D635+E635-F635-G635-H635,2)))</x:f>
      </x:c>
      <x:c r="J635" s="88" t="str">
        <x:f>IF(C635="","",F635+G635+H635)</x:f>
      </x:c>
      <x:c r="K635" s="88" t="str">
        <x:f>IF(C635="","",MAX(0,SUMIFS(SONDERZAHLUNGEN!$E$9:$E$128,SONDERZAHLUNGEN!$B$9:$B$128,C635,SONDERZAHLUNGEN!$C$9:$C$128,A635,SONDERZAHLUNGEN!$H$9:$H$128,"OK",SONDERZAHLUNGEN!$F$9:$F$128,"Ja")-G635))</x:f>
      </x:c>
    </x:row>
    <x:row r="636" ht="19" customHeight="1">
      <x:c r="A636" s="90" t="n">
        <x:f>MONATSBUDGET!$A$38</x:f>
        <x:v>47150</x:v>
      </x:c>
      <x:c r="B636" t="n">
        <x:f>17</x:f>
        <x:v>17</x:v>
      </x:c>
      <x:c r="C636" t="str">
        <x:f>IF($N$25="","",$N$25)</x:f>
      </x:c>
      <x:c r="D636" s="88" t="str">
        <x:f>IF(C636="","",I616)</x:f>
      </x:c>
      <x:c r="E636" s="88" t="str">
        <x:f>IF(C636="","",ROUND(D636*$P$25/12,2))</x:f>
      </x:c>
      <x:c r="F636" s="88" t="str">
        <x:f>IF(C636="","",MIN(D636+E636,$Q$25))</x:f>
      </x:c>
      <x:c r="G636" s="88" t="str">
        <x:f>IF(C636="","",MIN(MAX(0,D636+E636-F636),SUMIFS(SONDERZAHLUNGEN!$E$9:$E$128,SONDERZAHLUNGEN!$B$9:$B$128,C636,SONDERZAHLUNGEN!$C$9:$C$128,A636,SONDERZAHLUNGEN!$H$9:$H$128,"OK",SONDERZAHLUNGEN!$F$9:$F$128,"Ja")))</x:f>
      </x:c>
      <x:c r="H636" s="88" t="str">
        <x:f>IF(C636="","",MIN(MAX(0,D636+E636-F636-G636),MAX(0,IF(MONATSBUDGET!$C$38="",0,MONATSBUDGET!$C$38)-SUM(F620:F639)-SUM(H620:H635))))</x:f>
      </x:c>
      <x:c r="I636" s="88" t="str">
        <x:f>IF(C636="","",MAX(0,ROUND(D636+E636-F636-G636-H636,2)))</x:f>
      </x:c>
      <x:c r="J636" s="88" t="str">
        <x:f>IF(C636="","",F636+G636+H636)</x:f>
      </x:c>
      <x:c r="K636" s="88" t="str">
        <x:f>IF(C636="","",MAX(0,SUMIFS(SONDERZAHLUNGEN!$E$9:$E$128,SONDERZAHLUNGEN!$B$9:$B$128,C636,SONDERZAHLUNGEN!$C$9:$C$128,A636,SONDERZAHLUNGEN!$H$9:$H$128,"OK",SONDERZAHLUNGEN!$F$9:$F$128,"Ja")-G636))</x:f>
      </x:c>
    </x:row>
    <x:row r="637" ht="19" customHeight="1">
      <x:c r="A637" s="90" t="n">
        <x:f>MONATSBUDGET!$A$38</x:f>
        <x:v>47150</x:v>
      </x:c>
      <x:c r="B637" t="n">
        <x:f>18</x:f>
        <x:v>18</x:v>
      </x:c>
      <x:c r="C637" t="str">
        <x:f>IF($N$26="","",$N$26)</x:f>
      </x:c>
      <x:c r="D637" s="88" t="str">
        <x:f>IF(C637="","",I617)</x:f>
      </x:c>
      <x:c r="E637" s="88" t="str">
        <x:f>IF(C637="","",ROUND(D637*$P$26/12,2))</x:f>
      </x:c>
      <x:c r="F637" s="88" t="str">
        <x:f>IF(C637="","",MIN(D637+E637,$Q$26))</x:f>
      </x:c>
      <x:c r="G637" s="88" t="str">
        <x:f>IF(C637="","",MIN(MAX(0,D637+E637-F637),SUMIFS(SONDERZAHLUNGEN!$E$9:$E$128,SONDERZAHLUNGEN!$B$9:$B$128,C637,SONDERZAHLUNGEN!$C$9:$C$128,A637,SONDERZAHLUNGEN!$H$9:$H$128,"OK",SONDERZAHLUNGEN!$F$9:$F$128,"Ja")))</x:f>
      </x:c>
      <x:c r="H637" s="88" t="str">
        <x:f>IF(C637="","",MIN(MAX(0,D637+E637-F637-G637),MAX(0,IF(MONATSBUDGET!$C$38="",0,MONATSBUDGET!$C$38)-SUM(F620:F639)-SUM(H620:H636))))</x:f>
      </x:c>
      <x:c r="I637" s="88" t="str">
        <x:f>IF(C637="","",MAX(0,ROUND(D637+E637-F637-G637-H637,2)))</x:f>
      </x:c>
      <x:c r="J637" s="88" t="str">
        <x:f>IF(C637="","",F637+G637+H637)</x:f>
      </x:c>
      <x:c r="K637" s="88" t="str">
        <x:f>IF(C637="","",MAX(0,SUMIFS(SONDERZAHLUNGEN!$E$9:$E$128,SONDERZAHLUNGEN!$B$9:$B$128,C637,SONDERZAHLUNGEN!$C$9:$C$128,A637,SONDERZAHLUNGEN!$H$9:$H$128,"OK",SONDERZAHLUNGEN!$F$9:$F$128,"Ja")-G637))</x:f>
      </x:c>
    </x:row>
    <x:row r="638" ht="19" customHeight="1">
      <x:c r="A638" s="90" t="n">
        <x:f>MONATSBUDGET!$A$38</x:f>
        <x:v>47150</x:v>
      </x:c>
      <x:c r="B638" t="n">
        <x:f>19</x:f>
        <x:v>19</x:v>
      </x:c>
      <x:c r="C638" t="str">
        <x:f>IF($N$27="","",$N$27)</x:f>
      </x:c>
      <x:c r="D638" s="88" t="str">
        <x:f>IF(C638="","",I618)</x:f>
      </x:c>
      <x:c r="E638" s="88" t="str">
        <x:f>IF(C638="","",ROUND(D638*$P$27/12,2))</x:f>
      </x:c>
      <x:c r="F638" s="88" t="str">
        <x:f>IF(C638="","",MIN(D638+E638,$Q$27))</x:f>
      </x:c>
      <x:c r="G638" s="88" t="str">
        <x:f>IF(C638="","",MIN(MAX(0,D638+E638-F638),SUMIFS(SONDERZAHLUNGEN!$E$9:$E$128,SONDERZAHLUNGEN!$B$9:$B$128,C638,SONDERZAHLUNGEN!$C$9:$C$128,A638,SONDERZAHLUNGEN!$H$9:$H$128,"OK",SONDERZAHLUNGEN!$F$9:$F$128,"Ja")))</x:f>
      </x:c>
      <x:c r="H638" s="88" t="str">
        <x:f>IF(C638="","",MIN(MAX(0,D638+E638-F638-G638),MAX(0,IF(MONATSBUDGET!$C$38="",0,MONATSBUDGET!$C$38)-SUM(F620:F639)-SUM(H620:H637))))</x:f>
      </x:c>
      <x:c r="I638" s="88" t="str">
        <x:f>IF(C638="","",MAX(0,ROUND(D638+E638-F638-G638-H638,2)))</x:f>
      </x:c>
      <x:c r="J638" s="88" t="str">
        <x:f>IF(C638="","",F638+G638+H638)</x:f>
      </x:c>
      <x:c r="K638" s="88" t="str">
        <x:f>IF(C638="","",MAX(0,SUMIFS(SONDERZAHLUNGEN!$E$9:$E$128,SONDERZAHLUNGEN!$B$9:$B$128,C638,SONDERZAHLUNGEN!$C$9:$C$128,A638,SONDERZAHLUNGEN!$H$9:$H$128,"OK",SONDERZAHLUNGEN!$F$9:$F$128,"Ja")-G638))</x:f>
      </x:c>
    </x:row>
    <x:row r="639" ht="19" customHeight="1">
      <x:c r="A639" s="90" t="n">
        <x:f>MONATSBUDGET!$A$38</x:f>
        <x:v>47150</x:v>
      </x:c>
      <x:c r="B639" t="n">
        <x:f>20</x:f>
        <x:v>20</x:v>
      </x:c>
      <x:c r="C639" t="str">
        <x:f>IF($N$28="","",$N$28)</x:f>
      </x:c>
      <x:c r="D639" s="88" t="str">
        <x:f>IF(C639="","",I619)</x:f>
      </x:c>
      <x:c r="E639" s="88" t="str">
        <x:f>IF(C639="","",ROUND(D639*$P$28/12,2))</x:f>
      </x:c>
      <x:c r="F639" s="88" t="str">
        <x:f>IF(C639="","",MIN(D639+E639,$Q$28))</x:f>
      </x:c>
      <x:c r="G639" s="88" t="str">
        <x:f>IF(C639="","",MIN(MAX(0,D639+E639-F639),SUMIFS(SONDERZAHLUNGEN!$E$9:$E$128,SONDERZAHLUNGEN!$B$9:$B$128,C639,SONDERZAHLUNGEN!$C$9:$C$128,A639,SONDERZAHLUNGEN!$H$9:$H$128,"OK",SONDERZAHLUNGEN!$F$9:$F$128,"Ja")))</x:f>
      </x:c>
      <x:c r="H639" s="88" t="str">
        <x:f>IF(C639="","",MIN(MAX(0,D639+E639-F639-G639),MAX(0,IF(MONATSBUDGET!$C$38="",0,MONATSBUDGET!$C$38)-SUM(F620:F639)-SUM(H620:H638))))</x:f>
      </x:c>
      <x:c r="I639" s="88" t="str">
        <x:f>IF(C639="","",MAX(0,ROUND(D639+E639-F639-G639-H639,2)))</x:f>
      </x:c>
      <x:c r="J639" s="88" t="str">
        <x:f>IF(C639="","",F639+G639+H639)</x:f>
      </x:c>
      <x:c r="K639" s="88" t="str">
        <x:f>IF(C639="","",MAX(0,SUMIFS(SONDERZAHLUNGEN!$E$9:$E$128,SONDERZAHLUNGEN!$B$9:$B$128,C639,SONDERZAHLUNGEN!$C$9:$C$128,A639,SONDERZAHLUNGEN!$H$9:$H$128,"OK",SONDERZAHLUNGEN!$F$9:$F$128,"Ja")-G639))</x:f>
      </x:c>
    </x:row>
    <x:row r="640" ht="19" customHeight="1">
      <x:c r="A640" s="90" t="n">
        <x:f>MONATSBUDGET!$A$39</x:f>
        <x:v>47178</x:v>
      </x:c>
      <x:c r="B640" t="n">
        <x:f>1</x:f>
        <x:v>1</x:v>
      </x:c>
      <x:c r="C640" t="str">
        <x:f>IF($N$9="","",$N$9)</x:f>
      </x:c>
      <x:c r="D640" s="88" t="str">
        <x:f>IF(C640="","",I620)</x:f>
      </x:c>
      <x:c r="E640" s="88" t="str">
        <x:f>IF(C640="","",ROUND(D640*$P$9/12,2))</x:f>
      </x:c>
      <x:c r="F640" s="88" t="str">
        <x:f>IF(C640="","",MIN(D640+E640,$Q$9))</x:f>
      </x:c>
      <x:c r="G640" s="88" t="str">
        <x:f>IF(C640="","",MIN(MAX(0,D640+E640-F640),SUMIFS(SONDERZAHLUNGEN!$E$9:$E$128,SONDERZAHLUNGEN!$B$9:$B$128,C640,SONDERZAHLUNGEN!$C$9:$C$128,A640,SONDERZAHLUNGEN!$H$9:$H$128,"OK",SONDERZAHLUNGEN!$F$9:$F$128,"Ja")))</x:f>
      </x:c>
      <x:c r="H640" s="88" t="str">
        <x:f>IF(C640="","",MIN(MAX(0,D640+E640-F640-G640),MAX(0,IF(MONATSBUDGET!$C$39="",0,MONATSBUDGET!$C$39)-SUM(F640:F659)-0)))</x:f>
      </x:c>
      <x:c r="I640" s="88" t="str">
        <x:f>IF(C640="","",MAX(0,ROUND(D640+E640-F640-G640-H640,2)))</x:f>
      </x:c>
      <x:c r="J640" s="88" t="str">
        <x:f>IF(C640="","",F640+G640+H640)</x:f>
      </x:c>
      <x:c r="K640" s="88" t="str">
        <x:f>IF(C640="","",MAX(0,SUMIFS(SONDERZAHLUNGEN!$E$9:$E$128,SONDERZAHLUNGEN!$B$9:$B$128,C640,SONDERZAHLUNGEN!$C$9:$C$128,A640,SONDERZAHLUNGEN!$H$9:$H$128,"OK",SONDERZAHLUNGEN!$F$9:$F$128,"Ja")-G640))</x:f>
      </x:c>
    </x:row>
    <x:row r="641" ht="19" customHeight="1">
      <x:c r="A641" s="90" t="n">
        <x:f>MONATSBUDGET!$A$39</x:f>
        <x:v>47178</x:v>
      </x:c>
      <x:c r="B641" t="n">
        <x:f>2</x:f>
        <x:v>2</x:v>
      </x:c>
      <x:c r="C641" t="str">
        <x:f>IF($N$10="","",$N$10)</x:f>
      </x:c>
      <x:c r="D641" s="88" t="str">
        <x:f>IF(C641="","",I621)</x:f>
      </x:c>
      <x:c r="E641" s="88" t="str">
        <x:f>IF(C641="","",ROUND(D641*$P$10/12,2))</x:f>
      </x:c>
      <x:c r="F641" s="88" t="str">
        <x:f>IF(C641="","",MIN(D641+E641,$Q$10))</x:f>
      </x:c>
      <x:c r="G641" s="88" t="str">
        <x:f>IF(C641="","",MIN(MAX(0,D641+E641-F641),SUMIFS(SONDERZAHLUNGEN!$E$9:$E$128,SONDERZAHLUNGEN!$B$9:$B$128,C641,SONDERZAHLUNGEN!$C$9:$C$128,A641,SONDERZAHLUNGEN!$H$9:$H$128,"OK",SONDERZAHLUNGEN!$F$9:$F$128,"Ja")))</x:f>
      </x:c>
      <x:c r="H641" s="88" t="str">
        <x:f>IF(C641="","",MIN(MAX(0,D641+E641-F641-G641),MAX(0,IF(MONATSBUDGET!$C$39="",0,MONATSBUDGET!$C$39)-SUM(F640:F659)-SUM(H640:H640))))</x:f>
      </x:c>
      <x:c r="I641" s="88" t="str">
        <x:f>IF(C641="","",MAX(0,ROUND(D641+E641-F641-G641-H641,2)))</x:f>
      </x:c>
      <x:c r="J641" s="88" t="str">
        <x:f>IF(C641="","",F641+G641+H641)</x:f>
      </x:c>
      <x:c r="K641" s="88" t="str">
        <x:f>IF(C641="","",MAX(0,SUMIFS(SONDERZAHLUNGEN!$E$9:$E$128,SONDERZAHLUNGEN!$B$9:$B$128,C641,SONDERZAHLUNGEN!$C$9:$C$128,A641,SONDERZAHLUNGEN!$H$9:$H$128,"OK",SONDERZAHLUNGEN!$F$9:$F$128,"Ja")-G641))</x:f>
      </x:c>
    </x:row>
    <x:row r="642" ht="19" customHeight="1">
      <x:c r="A642" s="90" t="n">
        <x:f>MONATSBUDGET!$A$39</x:f>
        <x:v>47178</x:v>
      </x:c>
      <x:c r="B642" t="n">
        <x:f>3</x:f>
        <x:v>3</x:v>
      </x:c>
      <x:c r="C642" t="str">
        <x:f>IF($N$11="","",$N$11)</x:f>
      </x:c>
      <x:c r="D642" s="88" t="str">
        <x:f>IF(C642="","",I622)</x:f>
      </x:c>
      <x:c r="E642" s="88" t="str">
        <x:f>IF(C642="","",ROUND(D642*$P$11/12,2))</x:f>
      </x:c>
      <x:c r="F642" s="88" t="str">
        <x:f>IF(C642="","",MIN(D642+E642,$Q$11))</x:f>
      </x:c>
      <x:c r="G642" s="88" t="str">
        <x:f>IF(C642="","",MIN(MAX(0,D642+E642-F642),SUMIFS(SONDERZAHLUNGEN!$E$9:$E$128,SONDERZAHLUNGEN!$B$9:$B$128,C642,SONDERZAHLUNGEN!$C$9:$C$128,A642,SONDERZAHLUNGEN!$H$9:$H$128,"OK",SONDERZAHLUNGEN!$F$9:$F$128,"Ja")))</x:f>
      </x:c>
      <x:c r="H642" s="88" t="str">
        <x:f>IF(C642="","",MIN(MAX(0,D642+E642-F642-G642),MAX(0,IF(MONATSBUDGET!$C$39="",0,MONATSBUDGET!$C$39)-SUM(F640:F659)-SUM(H640:H641))))</x:f>
      </x:c>
      <x:c r="I642" s="88" t="str">
        <x:f>IF(C642="","",MAX(0,ROUND(D642+E642-F642-G642-H642,2)))</x:f>
      </x:c>
      <x:c r="J642" s="88" t="str">
        <x:f>IF(C642="","",F642+G642+H642)</x:f>
      </x:c>
      <x:c r="K642" s="88" t="str">
        <x:f>IF(C642="","",MAX(0,SUMIFS(SONDERZAHLUNGEN!$E$9:$E$128,SONDERZAHLUNGEN!$B$9:$B$128,C642,SONDERZAHLUNGEN!$C$9:$C$128,A642,SONDERZAHLUNGEN!$H$9:$H$128,"OK",SONDERZAHLUNGEN!$F$9:$F$128,"Ja")-G642))</x:f>
      </x:c>
    </x:row>
    <x:row r="643" ht="19" customHeight="1">
      <x:c r="A643" s="90" t="n">
        <x:f>MONATSBUDGET!$A$39</x:f>
        <x:v>47178</x:v>
      </x:c>
      <x:c r="B643" t="n">
        <x:f>4</x:f>
        <x:v>4</x:v>
      </x:c>
      <x:c r="C643" t="str">
        <x:f>IF($N$12="","",$N$12)</x:f>
      </x:c>
      <x:c r="D643" s="88" t="str">
        <x:f>IF(C643="","",I623)</x:f>
      </x:c>
      <x:c r="E643" s="88" t="str">
        <x:f>IF(C643="","",ROUND(D643*$P$12/12,2))</x:f>
      </x:c>
      <x:c r="F643" s="88" t="str">
        <x:f>IF(C643="","",MIN(D643+E643,$Q$12))</x:f>
      </x:c>
      <x:c r="G643" s="88" t="str">
        <x:f>IF(C643="","",MIN(MAX(0,D643+E643-F643),SUMIFS(SONDERZAHLUNGEN!$E$9:$E$128,SONDERZAHLUNGEN!$B$9:$B$128,C643,SONDERZAHLUNGEN!$C$9:$C$128,A643,SONDERZAHLUNGEN!$H$9:$H$128,"OK",SONDERZAHLUNGEN!$F$9:$F$128,"Ja")))</x:f>
      </x:c>
      <x:c r="H643" s="88" t="str">
        <x:f>IF(C643="","",MIN(MAX(0,D643+E643-F643-G643),MAX(0,IF(MONATSBUDGET!$C$39="",0,MONATSBUDGET!$C$39)-SUM(F640:F659)-SUM(H640:H642))))</x:f>
      </x:c>
      <x:c r="I643" s="88" t="str">
        <x:f>IF(C643="","",MAX(0,ROUND(D643+E643-F643-G643-H643,2)))</x:f>
      </x:c>
      <x:c r="J643" s="88" t="str">
        <x:f>IF(C643="","",F643+G643+H643)</x:f>
      </x:c>
      <x:c r="K643" s="88" t="str">
        <x:f>IF(C643="","",MAX(0,SUMIFS(SONDERZAHLUNGEN!$E$9:$E$128,SONDERZAHLUNGEN!$B$9:$B$128,C643,SONDERZAHLUNGEN!$C$9:$C$128,A643,SONDERZAHLUNGEN!$H$9:$H$128,"OK",SONDERZAHLUNGEN!$F$9:$F$128,"Ja")-G643))</x:f>
      </x:c>
    </x:row>
    <x:row r="644" ht="19" customHeight="1">
      <x:c r="A644" s="90" t="n">
        <x:f>MONATSBUDGET!$A$39</x:f>
        <x:v>47178</x:v>
      </x:c>
      <x:c r="B644" t="n">
        <x:f>5</x:f>
        <x:v>5</x:v>
      </x:c>
      <x:c r="C644" t="str">
        <x:f>IF($N$13="","",$N$13)</x:f>
      </x:c>
      <x:c r="D644" s="88" t="str">
        <x:f>IF(C644="","",I624)</x:f>
      </x:c>
      <x:c r="E644" s="88" t="str">
        <x:f>IF(C644="","",ROUND(D644*$P$13/12,2))</x:f>
      </x:c>
      <x:c r="F644" s="88" t="str">
        <x:f>IF(C644="","",MIN(D644+E644,$Q$13))</x:f>
      </x:c>
      <x:c r="G644" s="88" t="str">
        <x:f>IF(C644="","",MIN(MAX(0,D644+E644-F644),SUMIFS(SONDERZAHLUNGEN!$E$9:$E$128,SONDERZAHLUNGEN!$B$9:$B$128,C644,SONDERZAHLUNGEN!$C$9:$C$128,A644,SONDERZAHLUNGEN!$H$9:$H$128,"OK",SONDERZAHLUNGEN!$F$9:$F$128,"Ja")))</x:f>
      </x:c>
      <x:c r="H644" s="88" t="str">
        <x:f>IF(C644="","",MIN(MAX(0,D644+E644-F644-G644),MAX(0,IF(MONATSBUDGET!$C$39="",0,MONATSBUDGET!$C$39)-SUM(F640:F659)-SUM(H640:H643))))</x:f>
      </x:c>
      <x:c r="I644" s="88" t="str">
        <x:f>IF(C644="","",MAX(0,ROUND(D644+E644-F644-G644-H644,2)))</x:f>
      </x:c>
      <x:c r="J644" s="88" t="str">
        <x:f>IF(C644="","",F644+G644+H644)</x:f>
      </x:c>
      <x:c r="K644" s="88" t="str">
        <x:f>IF(C644="","",MAX(0,SUMIFS(SONDERZAHLUNGEN!$E$9:$E$128,SONDERZAHLUNGEN!$B$9:$B$128,C644,SONDERZAHLUNGEN!$C$9:$C$128,A644,SONDERZAHLUNGEN!$H$9:$H$128,"OK",SONDERZAHLUNGEN!$F$9:$F$128,"Ja")-G644))</x:f>
      </x:c>
    </x:row>
    <x:row r="645" ht="19" customHeight="1">
      <x:c r="A645" s="90" t="n">
        <x:f>MONATSBUDGET!$A$39</x:f>
        <x:v>47178</x:v>
      </x:c>
      <x:c r="B645" t="n">
        <x:f>6</x:f>
        <x:v>6</x:v>
      </x:c>
      <x:c r="C645" t="str">
        <x:f>IF($N$14="","",$N$14)</x:f>
      </x:c>
      <x:c r="D645" s="88" t="str">
        <x:f>IF(C645="","",I625)</x:f>
      </x:c>
      <x:c r="E645" s="88" t="str">
        <x:f>IF(C645="","",ROUND(D645*$P$14/12,2))</x:f>
      </x:c>
      <x:c r="F645" s="88" t="str">
        <x:f>IF(C645="","",MIN(D645+E645,$Q$14))</x:f>
      </x:c>
      <x:c r="G645" s="88" t="str">
        <x:f>IF(C645="","",MIN(MAX(0,D645+E645-F645),SUMIFS(SONDERZAHLUNGEN!$E$9:$E$128,SONDERZAHLUNGEN!$B$9:$B$128,C645,SONDERZAHLUNGEN!$C$9:$C$128,A645,SONDERZAHLUNGEN!$H$9:$H$128,"OK",SONDERZAHLUNGEN!$F$9:$F$128,"Ja")))</x:f>
      </x:c>
      <x:c r="H645" s="88" t="str">
        <x:f>IF(C645="","",MIN(MAX(0,D645+E645-F645-G645),MAX(0,IF(MONATSBUDGET!$C$39="",0,MONATSBUDGET!$C$39)-SUM(F640:F659)-SUM(H640:H644))))</x:f>
      </x:c>
      <x:c r="I645" s="88" t="str">
        <x:f>IF(C645="","",MAX(0,ROUND(D645+E645-F645-G645-H645,2)))</x:f>
      </x:c>
      <x:c r="J645" s="88" t="str">
        <x:f>IF(C645="","",F645+G645+H645)</x:f>
      </x:c>
      <x:c r="K645" s="88" t="str">
        <x:f>IF(C645="","",MAX(0,SUMIFS(SONDERZAHLUNGEN!$E$9:$E$128,SONDERZAHLUNGEN!$B$9:$B$128,C645,SONDERZAHLUNGEN!$C$9:$C$128,A645,SONDERZAHLUNGEN!$H$9:$H$128,"OK",SONDERZAHLUNGEN!$F$9:$F$128,"Ja")-G645))</x:f>
      </x:c>
    </x:row>
    <x:row r="646" ht="19" customHeight="1">
      <x:c r="A646" s="90" t="n">
        <x:f>MONATSBUDGET!$A$39</x:f>
        <x:v>47178</x:v>
      </x:c>
      <x:c r="B646" t="n">
        <x:f>7</x:f>
        <x:v>7</x:v>
      </x:c>
      <x:c r="C646" t="str">
        <x:f>IF($N$15="","",$N$15)</x:f>
      </x:c>
      <x:c r="D646" s="88" t="str">
        <x:f>IF(C646="","",I626)</x:f>
      </x:c>
      <x:c r="E646" s="88" t="str">
        <x:f>IF(C646="","",ROUND(D646*$P$15/12,2))</x:f>
      </x:c>
      <x:c r="F646" s="88" t="str">
        <x:f>IF(C646="","",MIN(D646+E646,$Q$15))</x:f>
      </x:c>
      <x:c r="G646" s="88" t="str">
        <x:f>IF(C646="","",MIN(MAX(0,D646+E646-F646),SUMIFS(SONDERZAHLUNGEN!$E$9:$E$128,SONDERZAHLUNGEN!$B$9:$B$128,C646,SONDERZAHLUNGEN!$C$9:$C$128,A646,SONDERZAHLUNGEN!$H$9:$H$128,"OK",SONDERZAHLUNGEN!$F$9:$F$128,"Ja")))</x:f>
      </x:c>
      <x:c r="H646" s="88" t="str">
        <x:f>IF(C646="","",MIN(MAX(0,D646+E646-F646-G646),MAX(0,IF(MONATSBUDGET!$C$39="",0,MONATSBUDGET!$C$39)-SUM(F640:F659)-SUM(H640:H645))))</x:f>
      </x:c>
      <x:c r="I646" s="88" t="str">
        <x:f>IF(C646="","",MAX(0,ROUND(D646+E646-F646-G646-H646,2)))</x:f>
      </x:c>
      <x:c r="J646" s="88" t="str">
        <x:f>IF(C646="","",F646+G646+H646)</x:f>
      </x:c>
      <x:c r="K646" s="88" t="str">
        <x:f>IF(C646="","",MAX(0,SUMIFS(SONDERZAHLUNGEN!$E$9:$E$128,SONDERZAHLUNGEN!$B$9:$B$128,C646,SONDERZAHLUNGEN!$C$9:$C$128,A646,SONDERZAHLUNGEN!$H$9:$H$128,"OK",SONDERZAHLUNGEN!$F$9:$F$128,"Ja")-G646))</x:f>
      </x:c>
    </x:row>
    <x:row r="647" ht="19" customHeight="1">
      <x:c r="A647" s="90" t="n">
        <x:f>MONATSBUDGET!$A$39</x:f>
        <x:v>47178</x:v>
      </x:c>
      <x:c r="B647" t="n">
        <x:f>8</x:f>
        <x:v>8</x:v>
      </x:c>
      <x:c r="C647" t="str">
        <x:f>IF($N$16="","",$N$16)</x:f>
      </x:c>
      <x:c r="D647" s="88" t="str">
        <x:f>IF(C647="","",I627)</x:f>
      </x:c>
      <x:c r="E647" s="88" t="str">
        <x:f>IF(C647="","",ROUND(D647*$P$16/12,2))</x:f>
      </x:c>
      <x:c r="F647" s="88" t="str">
        <x:f>IF(C647="","",MIN(D647+E647,$Q$16))</x:f>
      </x:c>
      <x:c r="G647" s="88" t="str">
        <x:f>IF(C647="","",MIN(MAX(0,D647+E647-F647),SUMIFS(SONDERZAHLUNGEN!$E$9:$E$128,SONDERZAHLUNGEN!$B$9:$B$128,C647,SONDERZAHLUNGEN!$C$9:$C$128,A647,SONDERZAHLUNGEN!$H$9:$H$128,"OK",SONDERZAHLUNGEN!$F$9:$F$128,"Ja")))</x:f>
      </x:c>
      <x:c r="H647" s="88" t="str">
        <x:f>IF(C647="","",MIN(MAX(0,D647+E647-F647-G647),MAX(0,IF(MONATSBUDGET!$C$39="",0,MONATSBUDGET!$C$39)-SUM(F640:F659)-SUM(H640:H646))))</x:f>
      </x:c>
      <x:c r="I647" s="88" t="str">
        <x:f>IF(C647="","",MAX(0,ROUND(D647+E647-F647-G647-H647,2)))</x:f>
      </x:c>
      <x:c r="J647" s="88" t="str">
        <x:f>IF(C647="","",F647+G647+H647)</x:f>
      </x:c>
      <x:c r="K647" s="88" t="str">
        <x:f>IF(C647="","",MAX(0,SUMIFS(SONDERZAHLUNGEN!$E$9:$E$128,SONDERZAHLUNGEN!$B$9:$B$128,C647,SONDERZAHLUNGEN!$C$9:$C$128,A647,SONDERZAHLUNGEN!$H$9:$H$128,"OK",SONDERZAHLUNGEN!$F$9:$F$128,"Ja")-G647))</x:f>
      </x:c>
    </x:row>
    <x:row r="648" ht="19" customHeight="1">
      <x:c r="A648" s="90" t="n">
        <x:f>MONATSBUDGET!$A$39</x:f>
        <x:v>47178</x:v>
      </x:c>
      <x:c r="B648" t="n">
        <x:f>9</x:f>
        <x:v>9</x:v>
      </x:c>
      <x:c r="C648" t="str">
        <x:f>IF($N$17="","",$N$17)</x:f>
      </x:c>
      <x:c r="D648" s="88" t="str">
        <x:f>IF(C648="","",I628)</x:f>
      </x:c>
      <x:c r="E648" s="88" t="str">
        <x:f>IF(C648="","",ROUND(D648*$P$17/12,2))</x:f>
      </x:c>
      <x:c r="F648" s="88" t="str">
        <x:f>IF(C648="","",MIN(D648+E648,$Q$17))</x:f>
      </x:c>
      <x:c r="G648" s="88" t="str">
        <x:f>IF(C648="","",MIN(MAX(0,D648+E648-F648),SUMIFS(SONDERZAHLUNGEN!$E$9:$E$128,SONDERZAHLUNGEN!$B$9:$B$128,C648,SONDERZAHLUNGEN!$C$9:$C$128,A648,SONDERZAHLUNGEN!$H$9:$H$128,"OK",SONDERZAHLUNGEN!$F$9:$F$128,"Ja")))</x:f>
      </x:c>
      <x:c r="H648" s="88" t="str">
        <x:f>IF(C648="","",MIN(MAX(0,D648+E648-F648-G648),MAX(0,IF(MONATSBUDGET!$C$39="",0,MONATSBUDGET!$C$39)-SUM(F640:F659)-SUM(H640:H647))))</x:f>
      </x:c>
      <x:c r="I648" s="88" t="str">
        <x:f>IF(C648="","",MAX(0,ROUND(D648+E648-F648-G648-H648,2)))</x:f>
      </x:c>
      <x:c r="J648" s="88" t="str">
        <x:f>IF(C648="","",F648+G648+H648)</x:f>
      </x:c>
      <x:c r="K648" s="88" t="str">
        <x:f>IF(C648="","",MAX(0,SUMIFS(SONDERZAHLUNGEN!$E$9:$E$128,SONDERZAHLUNGEN!$B$9:$B$128,C648,SONDERZAHLUNGEN!$C$9:$C$128,A648,SONDERZAHLUNGEN!$H$9:$H$128,"OK",SONDERZAHLUNGEN!$F$9:$F$128,"Ja")-G648))</x:f>
      </x:c>
    </x:row>
    <x:row r="649" ht="19" customHeight="1">
      <x:c r="A649" s="90" t="n">
        <x:f>MONATSBUDGET!$A$39</x:f>
        <x:v>47178</x:v>
      </x:c>
      <x:c r="B649" t="n">
        <x:f>10</x:f>
        <x:v>10</x:v>
      </x:c>
      <x:c r="C649" t="str">
        <x:f>IF($N$18="","",$N$18)</x:f>
      </x:c>
      <x:c r="D649" s="88" t="str">
        <x:f>IF(C649="","",I629)</x:f>
      </x:c>
      <x:c r="E649" s="88" t="str">
        <x:f>IF(C649="","",ROUND(D649*$P$18/12,2))</x:f>
      </x:c>
      <x:c r="F649" s="88" t="str">
        <x:f>IF(C649="","",MIN(D649+E649,$Q$18))</x:f>
      </x:c>
      <x:c r="G649" s="88" t="str">
        <x:f>IF(C649="","",MIN(MAX(0,D649+E649-F649),SUMIFS(SONDERZAHLUNGEN!$E$9:$E$128,SONDERZAHLUNGEN!$B$9:$B$128,C649,SONDERZAHLUNGEN!$C$9:$C$128,A649,SONDERZAHLUNGEN!$H$9:$H$128,"OK",SONDERZAHLUNGEN!$F$9:$F$128,"Ja")))</x:f>
      </x:c>
      <x:c r="H649" s="88" t="str">
        <x:f>IF(C649="","",MIN(MAX(0,D649+E649-F649-G649),MAX(0,IF(MONATSBUDGET!$C$39="",0,MONATSBUDGET!$C$39)-SUM(F640:F659)-SUM(H640:H648))))</x:f>
      </x:c>
      <x:c r="I649" s="88" t="str">
        <x:f>IF(C649="","",MAX(0,ROUND(D649+E649-F649-G649-H649,2)))</x:f>
      </x:c>
      <x:c r="J649" s="88" t="str">
        <x:f>IF(C649="","",F649+G649+H649)</x:f>
      </x:c>
      <x:c r="K649" s="88" t="str">
        <x:f>IF(C649="","",MAX(0,SUMIFS(SONDERZAHLUNGEN!$E$9:$E$128,SONDERZAHLUNGEN!$B$9:$B$128,C649,SONDERZAHLUNGEN!$C$9:$C$128,A649,SONDERZAHLUNGEN!$H$9:$H$128,"OK",SONDERZAHLUNGEN!$F$9:$F$128,"Ja")-G649))</x:f>
      </x:c>
    </x:row>
    <x:row r="650" ht="19" customHeight="1">
      <x:c r="A650" s="90" t="n">
        <x:f>MONATSBUDGET!$A$39</x:f>
        <x:v>47178</x:v>
      </x:c>
      <x:c r="B650" t="n">
        <x:f>11</x:f>
        <x:v>11</x:v>
      </x:c>
      <x:c r="C650" t="str">
        <x:f>IF($N$19="","",$N$19)</x:f>
      </x:c>
      <x:c r="D650" s="88" t="str">
        <x:f>IF(C650="","",I630)</x:f>
      </x:c>
      <x:c r="E650" s="88" t="str">
        <x:f>IF(C650="","",ROUND(D650*$P$19/12,2))</x:f>
      </x:c>
      <x:c r="F650" s="88" t="str">
        <x:f>IF(C650="","",MIN(D650+E650,$Q$19))</x:f>
      </x:c>
      <x:c r="G650" s="88" t="str">
        <x:f>IF(C650="","",MIN(MAX(0,D650+E650-F650),SUMIFS(SONDERZAHLUNGEN!$E$9:$E$128,SONDERZAHLUNGEN!$B$9:$B$128,C650,SONDERZAHLUNGEN!$C$9:$C$128,A650,SONDERZAHLUNGEN!$H$9:$H$128,"OK",SONDERZAHLUNGEN!$F$9:$F$128,"Ja")))</x:f>
      </x:c>
      <x:c r="H650" s="88" t="str">
        <x:f>IF(C650="","",MIN(MAX(0,D650+E650-F650-G650),MAX(0,IF(MONATSBUDGET!$C$39="",0,MONATSBUDGET!$C$39)-SUM(F640:F659)-SUM(H640:H649))))</x:f>
      </x:c>
      <x:c r="I650" s="88" t="str">
        <x:f>IF(C650="","",MAX(0,ROUND(D650+E650-F650-G650-H650,2)))</x:f>
      </x:c>
      <x:c r="J650" s="88" t="str">
        <x:f>IF(C650="","",F650+G650+H650)</x:f>
      </x:c>
      <x:c r="K650" s="88" t="str">
        <x:f>IF(C650="","",MAX(0,SUMIFS(SONDERZAHLUNGEN!$E$9:$E$128,SONDERZAHLUNGEN!$B$9:$B$128,C650,SONDERZAHLUNGEN!$C$9:$C$128,A650,SONDERZAHLUNGEN!$H$9:$H$128,"OK",SONDERZAHLUNGEN!$F$9:$F$128,"Ja")-G650))</x:f>
      </x:c>
    </x:row>
    <x:row r="651" ht="19" customHeight="1">
      <x:c r="A651" s="90" t="n">
        <x:f>MONATSBUDGET!$A$39</x:f>
        <x:v>47178</x:v>
      </x:c>
      <x:c r="B651" t="n">
        <x:f>12</x:f>
        <x:v>12</x:v>
      </x:c>
      <x:c r="C651" t="str">
        <x:f>IF($N$20="","",$N$20)</x:f>
      </x:c>
      <x:c r="D651" s="88" t="str">
        <x:f>IF(C651="","",I631)</x:f>
      </x:c>
      <x:c r="E651" s="88" t="str">
        <x:f>IF(C651="","",ROUND(D651*$P$20/12,2))</x:f>
      </x:c>
      <x:c r="F651" s="88" t="str">
        <x:f>IF(C651="","",MIN(D651+E651,$Q$20))</x:f>
      </x:c>
      <x:c r="G651" s="88" t="str">
        <x:f>IF(C651="","",MIN(MAX(0,D651+E651-F651),SUMIFS(SONDERZAHLUNGEN!$E$9:$E$128,SONDERZAHLUNGEN!$B$9:$B$128,C651,SONDERZAHLUNGEN!$C$9:$C$128,A651,SONDERZAHLUNGEN!$H$9:$H$128,"OK",SONDERZAHLUNGEN!$F$9:$F$128,"Ja")))</x:f>
      </x:c>
      <x:c r="H651" s="88" t="str">
        <x:f>IF(C651="","",MIN(MAX(0,D651+E651-F651-G651),MAX(0,IF(MONATSBUDGET!$C$39="",0,MONATSBUDGET!$C$39)-SUM(F640:F659)-SUM(H640:H650))))</x:f>
      </x:c>
      <x:c r="I651" s="88" t="str">
        <x:f>IF(C651="","",MAX(0,ROUND(D651+E651-F651-G651-H651,2)))</x:f>
      </x:c>
      <x:c r="J651" s="88" t="str">
        <x:f>IF(C651="","",F651+G651+H651)</x:f>
      </x:c>
      <x:c r="K651" s="88" t="str">
        <x:f>IF(C651="","",MAX(0,SUMIFS(SONDERZAHLUNGEN!$E$9:$E$128,SONDERZAHLUNGEN!$B$9:$B$128,C651,SONDERZAHLUNGEN!$C$9:$C$128,A651,SONDERZAHLUNGEN!$H$9:$H$128,"OK",SONDERZAHLUNGEN!$F$9:$F$128,"Ja")-G651))</x:f>
      </x:c>
    </x:row>
    <x:row r="652" ht="19" customHeight="1">
      <x:c r="A652" s="90" t="n">
        <x:f>MONATSBUDGET!$A$39</x:f>
        <x:v>47178</x:v>
      </x:c>
      <x:c r="B652" t="n">
        <x:f>13</x:f>
        <x:v>13</x:v>
      </x:c>
      <x:c r="C652" t="str">
        <x:f>IF($N$21="","",$N$21)</x:f>
      </x:c>
      <x:c r="D652" s="88" t="str">
        <x:f>IF(C652="","",I632)</x:f>
      </x:c>
      <x:c r="E652" s="88" t="str">
        <x:f>IF(C652="","",ROUND(D652*$P$21/12,2))</x:f>
      </x:c>
      <x:c r="F652" s="88" t="str">
        <x:f>IF(C652="","",MIN(D652+E652,$Q$21))</x:f>
      </x:c>
      <x:c r="G652" s="88" t="str">
        <x:f>IF(C652="","",MIN(MAX(0,D652+E652-F652),SUMIFS(SONDERZAHLUNGEN!$E$9:$E$128,SONDERZAHLUNGEN!$B$9:$B$128,C652,SONDERZAHLUNGEN!$C$9:$C$128,A652,SONDERZAHLUNGEN!$H$9:$H$128,"OK",SONDERZAHLUNGEN!$F$9:$F$128,"Ja")))</x:f>
      </x:c>
      <x:c r="H652" s="88" t="str">
        <x:f>IF(C652="","",MIN(MAX(0,D652+E652-F652-G652),MAX(0,IF(MONATSBUDGET!$C$39="",0,MONATSBUDGET!$C$39)-SUM(F640:F659)-SUM(H640:H651))))</x:f>
      </x:c>
      <x:c r="I652" s="88" t="str">
        <x:f>IF(C652="","",MAX(0,ROUND(D652+E652-F652-G652-H652,2)))</x:f>
      </x:c>
      <x:c r="J652" s="88" t="str">
        <x:f>IF(C652="","",F652+G652+H652)</x:f>
      </x:c>
      <x:c r="K652" s="88" t="str">
        <x:f>IF(C652="","",MAX(0,SUMIFS(SONDERZAHLUNGEN!$E$9:$E$128,SONDERZAHLUNGEN!$B$9:$B$128,C652,SONDERZAHLUNGEN!$C$9:$C$128,A652,SONDERZAHLUNGEN!$H$9:$H$128,"OK",SONDERZAHLUNGEN!$F$9:$F$128,"Ja")-G652))</x:f>
      </x:c>
    </x:row>
    <x:row r="653" ht="19" customHeight="1">
      <x:c r="A653" s="90" t="n">
        <x:f>MONATSBUDGET!$A$39</x:f>
        <x:v>47178</x:v>
      </x:c>
      <x:c r="B653" t="n">
        <x:f>14</x:f>
        <x:v>14</x:v>
      </x:c>
      <x:c r="C653" t="str">
        <x:f>IF($N$22="","",$N$22)</x:f>
      </x:c>
      <x:c r="D653" s="88" t="str">
        <x:f>IF(C653="","",I633)</x:f>
      </x:c>
      <x:c r="E653" s="88" t="str">
        <x:f>IF(C653="","",ROUND(D653*$P$22/12,2))</x:f>
      </x:c>
      <x:c r="F653" s="88" t="str">
        <x:f>IF(C653="","",MIN(D653+E653,$Q$22))</x:f>
      </x:c>
      <x:c r="G653" s="88" t="str">
        <x:f>IF(C653="","",MIN(MAX(0,D653+E653-F653),SUMIFS(SONDERZAHLUNGEN!$E$9:$E$128,SONDERZAHLUNGEN!$B$9:$B$128,C653,SONDERZAHLUNGEN!$C$9:$C$128,A653,SONDERZAHLUNGEN!$H$9:$H$128,"OK",SONDERZAHLUNGEN!$F$9:$F$128,"Ja")))</x:f>
      </x:c>
      <x:c r="H653" s="88" t="str">
        <x:f>IF(C653="","",MIN(MAX(0,D653+E653-F653-G653),MAX(0,IF(MONATSBUDGET!$C$39="",0,MONATSBUDGET!$C$39)-SUM(F640:F659)-SUM(H640:H652))))</x:f>
      </x:c>
      <x:c r="I653" s="88" t="str">
        <x:f>IF(C653="","",MAX(0,ROUND(D653+E653-F653-G653-H653,2)))</x:f>
      </x:c>
      <x:c r="J653" s="88" t="str">
        <x:f>IF(C653="","",F653+G653+H653)</x:f>
      </x:c>
      <x:c r="K653" s="88" t="str">
        <x:f>IF(C653="","",MAX(0,SUMIFS(SONDERZAHLUNGEN!$E$9:$E$128,SONDERZAHLUNGEN!$B$9:$B$128,C653,SONDERZAHLUNGEN!$C$9:$C$128,A653,SONDERZAHLUNGEN!$H$9:$H$128,"OK",SONDERZAHLUNGEN!$F$9:$F$128,"Ja")-G653))</x:f>
      </x:c>
    </x:row>
    <x:row r="654" ht="19" customHeight="1">
      <x:c r="A654" s="90" t="n">
        <x:f>MONATSBUDGET!$A$39</x:f>
        <x:v>47178</x:v>
      </x:c>
      <x:c r="B654" t="n">
        <x:f>15</x:f>
        <x:v>15</x:v>
      </x:c>
      <x:c r="C654" t="str">
        <x:f>IF($N$23="","",$N$23)</x:f>
      </x:c>
      <x:c r="D654" s="88" t="str">
        <x:f>IF(C654="","",I634)</x:f>
      </x:c>
      <x:c r="E654" s="88" t="str">
        <x:f>IF(C654="","",ROUND(D654*$P$23/12,2))</x:f>
      </x:c>
      <x:c r="F654" s="88" t="str">
        <x:f>IF(C654="","",MIN(D654+E654,$Q$23))</x:f>
      </x:c>
      <x:c r="G654" s="88" t="str">
        <x:f>IF(C654="","",MIN(MAX(0,D654+E654-F654),SUMIFS(SONDERZAHLUNGEN!$E$9:$E$128,SONDERZAHLUNGEN!$B$9:$B$128,C654,SONDERZAHLUNGEN!$C$9:$C$128,A654,SONDERZAHLUNGEN!$H$9:$H$128,"OK",SONDERZAHLUNGEN!$F$9:$F$128,"Ja")))</x:f>
      </x:c>
      <x:c r="H654" s="88" t="str">
        <x:f>IF(C654="","",MIN(MAX(0,D654+E654-F654-G654),MAX(0,IF(MONATSBUDGET!$C$39="",0,MONATSBUDGET!$C$39)-SUM(F640:F659)-SUM(H640:H653))))</x:f>
      </x:c>
      <x:c r="I654" s="88" t="str">
        <x:f>IF(C654="","",MAX(0,ROUND(D654+E654-F654-G654-H654,2)))</x:f>
      </x:c>
      <x:c r="J654" s="88" t="str">
        <x:f>IF(C654="","",F654+G654+H654)</x:f>
      </x:c>
      <x:c r="K654" s="88" t="str">
        <x:f>IF(C654="","",MAX(0,SUMIFS(SONDERZAHLUNGEN!$E$9:$E$128,SONDERZAHLUNGEN!$B$9:$B$128,C654,SONDERZAHLUNGEN!$C$9:$C$128,A654,SONDERZAHLUNGEN!$H$9:$H$128,"OK",SONDERZAHLUNGEN!$F$9:$F$128,"Ja")-G654))</x:f>
      </x:c>
    </x:row>
    <x:row r="655" ht="19" customHeight="1">
      <x:c r="A655" s="90" t="n">
        <x:f>MONATSBUDGET!$A$39</x:f>
        <x:v>47178</x:v>
      </x:c>
      <x:c r="B655" t="n">
        <x:f>16</x:f>
        <x:v>16</x:v>
      </x:c>
      <x:c r="C655" t="str">
        <x:f>IF($N$24="","",$N$24)</x:f>
      </x:c>
      <x:c r="D655" s="88" t="str">
        <x:f>IF(C655="","",I635)</x:f>
      </x:c>
      <x:c r="E655" s="88" t="str">
        <x:f>IF(C655="","",ROUND(D655*$P$24/12,2))</x:f>
      </x:c>
      <x:c r="F655" s="88" t="str">
        <x:f>IF(C655="","",MIN(D655+E655,$Q$24))</x:f>
      </x:c>
      <x:c r="G655" s="88" t="str">
        <x:f>IF(C655="","",MIN(MAX(0,D655+E655-F655),SUMIFS(SONDERZAHLUNGEN!$E$9:$E$128,SONDERZAHLUNGEN!$B$9:$B$128,C655,SONDERZAHLUNGEN!$C$9:$C$128,A655,SONDERZAHLUNGEN!$H$9:$H$128,"OK",SONDERZAHLUNGEN!$F$9:$F$128,"Ja")))</x:f>
      </x:c>
      <x:c r="H655" s="88" t="str">
        <x:f>IF(C655="","",MIN(MAX(0,D655+E655-F655-G655),MAX(0,IF(MONATSBUDGET!$C$39="",0,MONATSBUDGET!$C$39)-SUM(F640:F659)-SUM(H640:H654))))</x:f>
      </x:c>
      <x:c r="I655" s="88" t="str">
        <x:f>IF(C655="","",MAX(0,ROUND(D655+E655-F655-G655-H655,2)))</x:f>
      </x:c>
      <x:c r="J655" s="88" t="str">
        <x:f>IF(C655="","",F655+G655+H655)</x:f>
      </x:c>
      <x:c r="K655" s="88" t="str">
        <x:f>IF(C655="","",MAX(0,SUMIFS(SONDERZAHLUNGEN!$E$9:$E$128,SONDERZAHLUNGEN!$B$9:$B$128,C655,SONDERZAHLUNGEN!$C$9:$C$128,A655,SONDERZAHLUNGEN!$H$9:$H$128,"OK",SONDERZAHLUNGEN!$F$9:$F$128,"Ja")-G655))</x:f>
      </x:c>
    </x:row>
    <x:row r="656" ht="19" customHeight="1">
      <x:c r="A656" s="90" t="n">
        <x:f>MONATSBUDGET!$A$39</x:f>
        <x:v>47178</x:v>
      </x:c>
      <x:c r="B656" t="n">
        <x:f>17</x:f>
        <x:v>17</x:v>
      </x:c>
      <x:c r="C656" t="str">
        <x:f>IF($N$25="","",$N$25)</x:f>
      </x:c>
      <x:c r="D656" s="88" t="str">
        <x:f>IF(C656="","",I636)</x:f>
      </x:c>
      <x:c r="E656" s="88" t="str">
        <x:f>IF(C656="","",ROUND(D656*$P$25/12,2))</x:f>
      </x:c>
      <x:c r="F656" s="88" t="str">
        <x:f>IF(C656="","",MIN(D656+E656,$Q$25))</x:f>
      </x:c>
      <x:c r="G656" s="88" t="str">
        <x:f>IF(C656="","",MIN(MAX(0,D656+E656-F656),SUMIFS(SONDERZAHLUNGEN!$E$9:$E$128,SONDERZAHLUNGEN!$B$9:$B$128,C656,SONDERZAHLUNGEN!$C$9:$C$128,A656,SONDERZAHLUNGEN!$H$9:$H$128,"OK",SONDERZAHLUNGEN!$F$9:$F$128,"Ja")))</x:f>
      </x:c>
      <x:c r="H656" s="88" t="str">
        <x:f>IF(C656="","",MIN(MAX(0,D656+E656-F656-G656),MAX(0,IF(MONATSBUDGET!$C$39="",0,MONATSBUDGET!$C$39)-SUM(F640:F659)-SUM(H640:H655))))</x:f>
      </x:c>
      <x:c r="I656" s="88" t="str">
        <x:f>IF(C656="","",MAX(0,ROUND(D656+E656-F656-G656-H656,2)))</x:f>
      </x:c>
      <x:c r="J656" s="88" t="str">
        <x:f>IF(C656="","",F656+G656+H656)</x:f>
      </x:c>
      <x:c r="K656" s="88" t="str">
        <x:f>IF(C656="","",MAX(0,SUMIFS(SONDERZAHLUNGEN!$E$9:$E$128,SONDERZAHLUNGEN!$B$9:$B$128,C656,SONDERZAHLUNGEN!$C$9:$C$128,A656,SONDERZAHLUNGEN!$H$9:$H$128,"OK",SONDERZAHLUNGEN!$F$9:$F$128,"Ja")-G656))</x:f>
      </x:c>
    </x:row>
    <x:row r="657" ht="19" customHeight="1">
      <x:c r="A657" s="90" t="n">
        <x:f>MONATSBUDGET!$A$39</x:f>
        <x:v>47178</x:v>
      </x:c>
      <x:c r="B657" t="n">
        <x:f>18</x:f>
        <x:v>18</x:v>
      </x:c>
      <x:c r="C657" t="str">
        <x:f>IF($N$26="","",$N$26)</x:f>
      </x:c>
      <x:c r="D657" s="88" t="str">
        <x:f>IF(C657="","",I637)</x:f>
      </x:c>
      <x:c r="E657" s="88" t="str">
        <x:f>IF(C657="","",ROUND(D657*$P$26/12,2))</x:f>
      </x:c>
      <x:c r="F657" s="88" t="str">
        <x:f>IF(C657="","",MIN(D657+E657,$Q$26))</x:f>
      </x:c>
      <x:c r="G657" s="88" t="str">
        <x:f>IF(C657="","",MIN(MAX(0,D657+E657-F657),SUMIFS(SONDERZAHLUNGEN!$E$9:$E$128,SONDERZAHLUNGEN!$B$9:$B$128,C657,SONDERZAHLUNGEN!$C$9:$C$128,A657,SONDERZAHLUNGEN!$H$9:$H$128,"OK",SONDERZAHLUNGEN!$F$9:$F$128,"Ja")))</x:f>
      </x:c>
      <x:c r="H657" s="88" t="str">
        <x:f>IF(C657="","",MIN(MAX(0,D657+E657-F657-G657),MAX(0,IF(MONATSBUDGET!$C$39="",0,MONATSBUDGET!$C$39)-SUM(F640:F659)-SUM(H640:H656))))</x:f>
      </x:c>
      <x:c r="I657" s="88" t="str">
        <x:f>IF(C657="","",MAX(0,ROUND(D657+E657-F657-G657-H657,2)))</x:f>
      </x:c>
      <x:c r="J657" s="88" t="str">
        <x:f>IF(C657="","",F657+G657+H657)</x:f>
      </x:c>
      <x:c r="K657" s="88" t="str">
        <x:f>IF(C657="","",MAX(0,SUMIFS(SONDERZAHLUNGEN!$E$9:$E$128,SONDERZAHLUNGEN!$B$9:$B$128,C657,SONDERZAHLUNGEN!$C$9:$C$128,A657,SONDERZAHLUNGEN!$H$9:$H$128,"OK",SONDERZAHLUNGEN!$F$9:$F$128,"Ja")-G657))</x:f>
      </x:c>
    </x:row>
    <x:row r="658" ht="19" customHeight="1">
      <x:c r="A658" s="90" t="n">
        <x:f>MONATSBUDGET!$A$39</x:f>
        <x:v>47178</x:v>
      </x:c>
      <x:c r="B658" t="n">
        <x:f>19</x:f>
        <x:v>19</x:v>
      </x:c>
      <x:c r="C658" t="str">
        <x:f>IF($N$27="","",$N$27)</x:f>
      </x:c>
      <x:c r="D658" s="88" t="str">
        <x:f>IF(C658="","",I638)</x:f>
      </x:c>
      <x:c r="E658" s="88" t="str">
        <x:f>IF(C658="","",ROUND(D658*$P$27/12,2))</x:f>
      </x:c>
      <x:c r="F658" s="88" t="str">
        <x:f>IF(C658="","",MIN(D658+E658,$Q$27))</x:f>
      </x:c>
      <x:c r="G658" s="88" t="str">
        <x:f>IF(C658="","",MIN(MAX(0,D658+E658-F658),SUMIFS(SONDERZAHLUNGEN!$E$9:$E$128,SONDERZAHLUNGEN!$B$9:$B$128,C658,SONDERZAHLUNGEN!$C$9:$C$128,A658,SONDERZAHLUNGEN!$H$9:$H$128,"OK",SONDERZAHLUNGEN!$F$9:$F$128,"Ja")))</x:f>
      </x:c>
      <x:c r="H658" s="88" t="str">
        <x:f>IF(C658="","",MIN(MAX(0,D658+E658-F658-G658),MAX(0,IF(MONATSBUDGET!$C$39="",0,MONATSBUDGET!$C$39)-SUM(F640:F659)-SUM(H640:H657))))</x:f>
      </x:c>
      <x:c r="I658" s="88" t="str">
        <x:f>IF(C658="","",MAX(0,ROUND(D658+E658-F658-G658-H658,2)))</x:f>
      </x:c>
      <x:c r="J658" s="88" t="str">
        <x:f>IF(C658="","",F658+G658+H658)</x:f>
      </x:c>
      <x:c r="K658" s="88" t="str">
        <x:f>IF(C658="","",MAX(0,SUMIFS(SONDERZAHLUNGEN!$E$9:$E$128,SONDERZAHLUNGEN!$B$9:$B$128,C658,SONDERZAHLUNGEN!$C$9:$C$128,A658,SONDERZAHLUNGEN!$H$9:$H$128,"OK",SONDERZAHLUNGEN!$F$9:$F$128,"Ja")-G658))</x:f>
      </x:c>
    </x:row>
    <x:row r="659" ht="19" customHeight="1">
      <x:c r="A659" s="90" t="n">
        <x:f>MONATSBUDGET!$A$39</x:f>
        <x:v>47178</x:v>
      </x:c>
      <x:c r="B659" t="n">
        <x:f>20</x:f>
        <x:v>20</x:v>
      </x:c>
      <x:c r="C659" t="str">
        <x:f>IF($N$28="","",$N$28)</x:f>
      </x:c>
      <x:c r="D659" s="88" t="str">
        <x:f>IF(C659="","",I639)</x:f>
      </x:c>
      <x:c r="E659" s="88" t="str">
        <x:f>IF(C659="","",ROUND(D659*$P$28/12,2))</x:f>
      </x:c>
      <x:c r="F659" s="88" t="str">
        <x:f>IF(C659="","",MIN(D659+E659,$Q$28))</x:f>
      </x:c>
      <x:c r="G659" s="88" t="str">
        <x:f>IF(C659="","",MIN(MAX(0,D659+E659-F659),SUMIFS(SONDERZAHLUNGEN!$E$9:$E$128,SONDERZAHLUNGEN!$B$9:$B$128,C659,SONDERZAHLUNGEN!$C$9:$C$128,A659,SONDERZAHLUNGEN!$H$9:$H$128,"OK",SONDERZAHLUNGEN!$F$9:$F$128,"Ja")))</x:f>
      </x:c>
      <x:c r="H659" s="88" t="str">
        <x:f>IF(C659="","",MIN(MAX(0,D659+E659-F659-G659),MAX(0,IF(MONATSBUDGET!$C$39="",0,MONATSBUDGET!$C$39)-SUM(F640:F659)-SUM(H640:H658))))</x:f>
      </x:c>
      <x:c r="I659" s="88" t="str">
        <x:f>IF(C659="","",MAX(0,ROUND(D659+E659-F659-G659-H659,2)))</x:f>
      </x:c>
      <x:c r="J659" s="88" t="str">
        <x:f>IF(C659="","",F659+G659+H659)</x:f>
      </x:c>
      <x:c r="K659" s="88" t="str">
        <x:f>IF(C659="","",MAX(0,SUMIFS(SONDERZAHLUNGEN!$E$9:$E$128,SONDERZAHLUNGEN!$B$9:$B$128,C659,SONDERZAHLUNGEN!$C$9:$C$128,A659,SONDERZAHLUNGEN!$H$9:$H$128,"OK",SONDERZAHLUNGEN!$F$9:$F$128,"Ja")-G659))</x:f>
      </x:c>
    </x:row>
    <x:row r="660" ht="19" customHeight="1">
      <x:c r="A660" s="90" t="n">
        <x:f>MONATSBUDGET!$A$40</x:f>
        <x:v>47209</x:v>
      </x:c>
      <x:c r="B660" t="n">
        <x:f>1</x:f>
        <x:v>1</x:v>
      </x:c>
      <x:c r="C660" t="str">
        <x:f>IF($N$9="","",$N$9)</x:f>
      </x:c>
      <x:c r="D660" s="88" t="str">
        <x:f>IF(C660="","",I640)</x:f>
      </x:c>
      <x:c r="E660" s="88" t="str">
        <x:f>IF(C660="","",ROUND(D660*$P$9/12,2))</x:f>
      </x:c>
      <x:c r="F660" s="88" t="str">
        <x:f>IF(C660="","",MIN(D660+E660,$Q$9))</x:f>
      </x:c>
      <x:c r="G660" s="88" t="str">
        <x:f>IF(C660="","",MIN(MAX(0,D660+E660-F660),SUMIFS(SONDERZAHLUNGEN!$E$9:$E$128,SONDERZAHLUNGEN!$B$9:$B$128,C660,SONDERZAHLUNGEN!$C$9:$C$128,A660,SONDERZAHLUNGEN!$H$9:$H$128,"OK",SONDERZAHLUNGEN!$F$9:$F$128,"Ja")))</x:f>
      </x:c>
      <x:c r="H660" s="88" t="str">
        <x:f>IF(C660="","",MIN(MAX(0,D660+E660-F660-G660),MAX(0,IF(MONATSBUDGET!$C$40="",0,MONATSBUDGET!$C$40)-SUM(F660:F679)-0)))</x:f>
      </x:c>
      <x:c r="I660" s="88" t="str">
        <x:f>IF(C660="","",MAX(0,ROUND(D660+E660-F660-G660-H660,2)))</x:f>
      </x:c>
      <x:c r="J660" s="88" t="str">
        <x:f>IF(C660="","",F660+G660+H660)</x:f>
      </x:c>
      <x:c r="K660" s="88" t="str">
        <x:f>IF(C660="","",MAX(0,SUMIFS(SONDERZAHLUNGEN!$E$9:$E$128,SONDERZAHLUNGEN!$B$9:$B$128,C660,SONDERZAHLUNGEN!$C$9:$C$128,A660,SONDERZAHLUNGEN!$H$9:$H$128,"OK",SONDERZAHLUNGEN!$F$9:$F$128,"Ja")-G660))</x:f>
      </x:c>
    </x:row>
    <x:row r="661" ht="19" customHeight="1">
      <x:c r="A661" s="90" t="n">
        <x:f>MONATSBUDGET!$A$40</x:f>
        <x:v>47209</x:v>
      </x:c>
      <x:c r="B661" t="n">
        <x:f>2</x:f>
        <x:v>2</x:v>
      </x:c>
      <x:c r="C661" t="str">
        <x:f>IF($N$10="","",$N$10)</x:f>
      </x:c>
      <x:c r="D661" s="88" t="str">
        <x:f>IF(C661="","",I641)</x:f>
      </x:c>
      <x:c r="E661" s="88" t="str">
        <x:f>IF(C661="","",ROUND(D661*$P$10/12,2))</x:f>
      </x:c>
      <x:c r="F661" s="88" t="str">
        <x:f>IF(C661="","",MIN(D661+E661,$Q$10))</x:f>
      </x:c>
      <x:c r="G661" s="88" t="str">
        <x:f>IF(C661="","",MIN(MAX(0,D661+E661-F661),SUMIFS(SONDERZAHLUNGEN!$E$9:$E$128,SONDERZAHLUNGEN!$B$9:$B$128,C661,SONDERZAHLUNGEN!$C$9:$C$128,A661,SONDERZAHLUNGEN!$H$9:$H$128,"OK",SONDERZAHLUNGEN!$F$9:$F$128,"Ja")))</x:f>
      </x:c>
      <x:c r="H661" s="88" t="str">
        <x:f>IF(C661="","",MIN(MAX(0,D661+E661-F661-G661),MAX(0,IF(MONATSBUDGET!$C$40="",0,MONATSBUDGET!$C$40)-SUM(F660:F679)-SUM(H660:H660))))</x:f>
      </x:c>
      <x:c r="I661" s="88" t="str">
        <x:f>IF(C661="","",MAX(0,ROUND(D661+E661-F661-G661-H661,2)))</x:f>
      </x:c>
      <x:c r="J661" s="88" t="str">
        <x:f>IF(C661="","",F661+G661+H661)</x:f>
      </x:c>
      <x:c r="K661" s="88" t="str">
        <x:f>IF(C661="","",MAX(0,SUMIFS(SONDERZAHLUNGEN!$E$9:$E$128,SONDERZAHLUNGEN!$B$9:$B$128,C661,SONDERZAHLUNGEN!$C$9:$C$128,A661,SONDERZAHLUNGEN!$H$9:$H$128,"OK",SONDERZAHLUNGEN!$F$9:$F$128,"Ja")-G661))</x:f>
      </x:c>
    </x:row>
    <x:row r="662" ht="19" customHeight="1">
      <x:c r="A662" s="90" t="n">
        <x:f>MONATSBUDGET!$A$40</x:f>
        <x:v>47209</x:v>
      </x:c>
      <x:c r="B662" t="n">
        <x:f>3</x:f>
        <x:v>3</x:v>
      </x:c>
      <x:c r="C662" t="str">
        <x:f>IF($N$11="","",$N$11)</x:f>
      </x:c>
      <x:c r="D662" s="88" t="str">
        <x:f>IF(C662="","",I642)</x:f>
      </x:c>
      <x:c r="E662" s="88" t="str">
        <x:f>IF(C662="","",ROUND(D662*$P$11/12,2))</x:f>
      </x:c>
      <x:c r="F662" s="88" t="str">
        <x:f>IF(C662="","",MIN(D662+E662,$Q$11))</x:f>
      </x:c>
      <x:c r="G662" s="88" t="str">
        <x:f>IF(C662="","",MIN(MAX(0,D662+E662-F662),SUMIFS(SONDERZAHLUNGEN!$E$9:$E$128,SONDERZAHLUNGEN!$B$9:$B$128,C662,SONDERZAHLUNGEN!$C$9:$C$128,A662,SONDERZAHLUNGEN!$H$9:$H$128,"OK",SONDERZAHLUNGEN!$F$9:$F$128,"Ja")))</x:f>
      </x:c>
      <x:c r="H662" s="88" t="str">
        <x:f>IF(C662="","",MIN(MAX(0,D662+E662-F662-G662),MAX(0,IF(MONATSBUDGET!$C$40="",0,MONATSBUDGET!$C$40)-SUM(F660:F679)-SUM(H660:H661))))</x:f>
      </x:c>
      <x:c r="I662" s="88" t="str">
        <x:f>IF(C662="","",MAX(0,ROUND(D662+E662-F662-G662-H662,2)))</x:f>
      </x:c>
      <x:c r="J662" s="88" t="str">
        <x:f>IF(C662="","",F662+G662+H662)</x:f>
      </x:c>
      <x:c r="K662" s="88" t="str">
        <x:f>IF(C662="","",MAX(0,SUMIFS(SONDERZAHLUNGEN!$E$9:$E$128,SONDERZAHLUNGEN!$B$9:$B$128,C662,SONDERZAHLUNGEN!$C$9:$C$128,A662,SONDERZAHLUNGEN!$H$9:$H$128,"OK",SONDERZAHLUNGEN!$F$9:$F$128,"Ja")-G662))</x:f>
      </x:c>
    </x:row>
    <x:row r="663" ht="19" customHeight="1">
      <x:c r="A663" s="90" t="n">
        <x:f>MONATSBUDGET!$A$40</x:f>
        <x:v>47209</x:v>
      </x:c>
      <x:c r="B663" t="n">
        <x:f>4</x:f>
        <x:v>4</x:v>
      </x:c>
      <x:c r="C663" t="str">
        <x:f>IF($N$12="","",$N$12)</x:f>
      </x:c>
      <x:c r="D663" s="88" t="str">
        <x:f>IF(C663="","",I643)</x:f>
      </x:c>
      <x:c r="E663" s="88" t="str">
        <x:f>IF(C663="","",ROUND(D663*$P$12/12,2))</x:f>
      </x:c>
      <x:c r="F663" s="88" t="str">
        <x:f>IF(C663="","",MIN(D663+E663,$Q$12))</x:f>
      </x:c>
      <x:c r="G663" s="88" t="str">
        <x:f>IF(C663="","",MIN(MAX(0,D663+E663-F663),SUMIFS(SONDERZAHLUNGEN!$E$9:$E$128,SONDERZAHLUNGEN!$B$9:$B$128,C663,SONDERZAHLUNGEN!$C$9:$C$128,A663,SONDERZAHLUNGEN!$H$9:$H$128,"OK",SONDERZAHLUNGEN!$F$9:$F$128,"Ja")))</x:f>
      </x:c>
      <x:c r="H663" s="88" t="str">
        <x:f>IF(C663="","",MIN(MAX(0,D663+E663-F663-G663),MAX(0,IF(MONATSBUDGET!$C$40="",0,MONATSBUDGET!$C$40)-SUM(F660:F679)-SUM(H660:H662))))</x:f>
      </x:c>
      <x:c r="I663" s="88" t="str">
        <x:f>IF(C663="","",MAX(0,ROUND(D663+E663-F663-G663-H663,2)))</x:f>
      </x:c>
      <x:c r="J663" s="88" t="str">
        <x:f>IF(C663="","",F663+G663+H663)</x:f>
      </x:c>
      <x:c r="K663" s="88" t="str">
        <x:f>IF(C663="","",MAX(0,SUMIFS(SONDERZAHLUNGEN!$E$9:$E$128,SONDERZAHLUNGEN!$B$9:$B$128,C663,SONDERZAHLUNGEN!$C$9:$C$128,A663,SONDERZAHLUNGEN!$H$9:$H$128,"OK",SONDERZAHLUNGEN!$F$9:$F$128,"Ja")-G663))</x:f>
      </x:c>
    </x:row>
    <x:row r="664" ht="19" customHeight="1">
      <x:c r="A664" s="90" t="n">
        <x:f>MONATSBUDGET!$A$40</x:f>
        <x:v>47209</x:v>
      </x:c>
      <x:c r="B664" t="n">
        <x:f>5</x:f>
        <x:v>5</x:v>
      </x:c>
      <x:c r="C664" t="str">
        <x:f>IF($N$13="","",$N$13)</x:f>
      </x:c>
      <x:c r="D664" s="88" t="str">
        <x:f>IF(C664="","",I644)</x:f>
      </x:c>
      <x:c r="E664" s="88" t="str">
        <x:f>IF(C664="","",ROUND(D664*$P$13/12,2))</x:f>
      </x:c>
      <x:c r="F664" s="88" t="str">
        <x:f>IF(C664="","",MIN(D664+E664,$Q$13))</x:f>
      </x:c>
      <x:c r="G664" s="88" t="str">
        <x:f>IF(C664="","",MIN(MAX(0,D664+E664-F664),SUMIFS(SONDERZAHLUNGEN!$E$9:$E$128,SONDERZAHLUNGEN!$B$9:$B$128,C664,SONDERZAHLUNGEN!$C$9:$C$128,A664,SONDERZAHLUNGEN!$H$9:$H$128,"OK",SONDERZAHLUNGEN!$F$9:$F$128,"Ja")))</x:f>
      </x:c>
      <x:c r="H664" s="88" t="str">
        <x:f>IF(C664="","",MIN(MAX(0,D664+E664-F664-G664),MAX(0,IF(MONATSBUDGET!$C$40="",0,MONATSBUDGET!$C$40)-SUM(F660:F679)-SUM(H660:H663))))</x:f>
      </x:c>
      <x:c r="I664" s="88" t="str">
        <x:f>IF(C664="","",MAX(0,ROUND(D664+E664-F664-G664-H664,2)))</x:f>
      </x:c>
      <x:c r="J664" s="88" t="str">
        <x:f>IF(C664="","",F664+G664+H664)</x:f>
      </x:c>
      <x:c r="K664" s="88" t="str">
        <x:f>IF(C664="","",MAX(0,SUMIFS(SONDERZAHLUNGEN!$E$9:$E$128,SONDERZAHLUNGEN!$B$9:$B$128,C664,SONDERZAHLUNGEN!$C$9:$C$128,A664,SONDERZAHLUNGEN!$H$9:$H$128,"OK",SONDERZAHLUNGEN!$F$9:$F$128,"Ja")-G664))</x:f>
      </x:c>
    </x:row>
    <x:row r="665" ht="19" customHeight="1">
      <x:c r="A665" s="90" t="n">
        <x:f>MONATSBUDGET!$A$40</x:f>
        <x:v>47209</x:v>
      </x:c>
      <x:c r="B665" t="n">
        <x:f>6</x:f>
        <x:v>6</x:v>
      </x:c>
      <x:c r="C665" t="str">
        <x:f>IF($N$14="","",$N$14)</x:f>
      </x:c>
      <x:c r="D665" s="88" t="str">
        <x:f>IF(C665="","",I645)</x:f>
      </x:c>
      <x:c r="E665" s="88" t="str">
        <x:f>IF(C665="","",ROUND(D665*$P$14/12,2))</x:f>
      </x:c>
      <x:c r="F665" s="88" t="str">
        <x:f>IF(C665="","",MIN(D665+E665,$Q$14))</x:f>
      </x:c>
      <x:c r="G665" s="88" t="str">
        <x:f>IF(C665="","",MIN(MAX(0,D665+E665-F665),SUMIFS(SONDERZAHLUNGEN!$E$9:$E$128,SONDERZAHLUNGEN!$B$9:$B$128,C665,SONDERZAHLUNGEN!$C$9:$C$128,A665,SONDERZAHLUNGEN!$H$9:$H$128,"OK",SONDERZAHLUNGEN!$F$9:$F$128,"Ja")))</x:f>
      </x:c>
      <x:c r="H665" s="88" t="str">
        <x:f>IF(C665="","",MIN(MAX(0,D665+E665-F665-G665),MAX(0,IF(MONATSBUDGET!$C$40="",0,MONATSBUDGET!$C$40)-SUM(F660:F679)-SUM(H660:H664))))</x:f>
      </x:c>
      <x:c r="I665" s="88" t="str">
        <x:f>IF(C665="","",MAX(0,ROUND(D665+E665-F665-G665-H665,2)))</x:f>
      </x:c>
      <x:c r="J665" s="88" t="str">
        <x:f>IF(C665="","",F665+G665+H665)</x:f>
      </x:c>
      <x:c r="K665" s="88" t="str">
        <x:f>IF(C665="","",MAX(0,SUMIFS(SONDERZAHLUNGEN!$E$9:$E$128,SONDERZAHLUNGEN!$B$9:$B$128,C665,SONDERZAHLUNGEN!$C$9:$C$128,A665,SONDERZAHLUNGEN!$H$9:$H$128,"OK",SONDERZAHLUNGEN!$F$9:$F$128,"Ja")-G665))</x:f>
      </x:c>
    </x:row>
    <x:row r="666" ht="19" customHeight="1">
      <x:c r="A666" s="90" t="n">
        <x:f>MONATSBUDGET!$A$40</x:f>
        <x:v>47209</x:v>
      </x:c>
      <x:c r="B666" t="n">
        <x:f>7</x:f>
        <x:v>7</x:v>
      </x:c>
      <x:c r="C666" t="str">
        <x:f>IF($N$15="","",$N$15)</x:f>
      </x:c>
      <x:c r="D666" s="88" t="str">
        <x:f>IF(C666="","",I646)</x:f>
      </x:c>
      <x:c r="E666" s="88" t="str">
        <x:f>IF(C666="","",ROUND(D666*$P$15/12,2))</x:f>
      </x:c>
      <x:c r="F666" s="88" t="str">
        <x:f>IF(C666="","",MIN(D666+E666,$Q$15))</x:f>
      </x:c>
      <x:c r="G666" s="88" t="str">
        <x:f>IF(C666="","",MIN(MAX(0,D666+E666-F666),SUMIFS(SONDERZAHLUNGEN!$E$9:$E$128,SONDERZAHLUNGEN!$B$9:$B$128,C666,SONDERZAHLUNGEN!$C$9:$C$128,A666,SONDERZAHLUNGEN!$H$9:$H$128,"OK",SONDERZAHLUNGEN!$F$9:$F$128,"Ja")))</x:f>
      </x:c>
      <x:c r="H666" s="88" t="str">
        <x:f>IF(C666="","",MIN(MAX(0,D666+E666-F666-G666),MAX(0,IF(MONATSBUDGET!$C$40="",0,MONATSBUDGET!$C$40)-SUM(F660:F679)-SUM(H660:H665))))</x:f>
      </x:c>
      <x:c r="I666" s="88" t="str">
        <x:f>IF(C666="","",MAX(0,ROUND(D666+E666-F666-G666-H666,2)))</x:f>
      </x:c>
      <x:c r="J666" s="88" t="str">
        <x:f>IF(C666="","",F666+G666+H666)</x:f>
      </x:c>
      <x:c r="K666" s="88" t="str">
        <x:f>IF(C666="","",MAX(0,SUMIFS(SONDERZAHLUNGEN!$E$9:$E$128,SONDERZAHLUNGEN!$B$9:$B$128,C666,SONDERZAHLUNGEN!$C$9:$C$128,A666,SONDERZAHLUNGEN!$H$9:$H$128,"OK",SONDERZAHLUNGEN!$F$9:$F$128,"Ja")-G666))</x:f>
      </x:c>
    </x:row>
    <x:row r="667" ht="19" customHeight="1">
      <x:c r="A667" s="90" t="n">
        <x:f>MONATSBUDGET!$A$40</x:f>
        <x:v>47209</x:v>
      </x:c>
      <x:c r="B667" t="n">
        <x:f>8</x:f>
        <x:v>8</x:v>
      </x:c>
      <x:c r="C667" t="str">
        <x:f>IF($N$16="","",$N$16)</x:f>
      </x:c>
      <x:c r="D667" s="88" t="str">
        <x:f>IF(C667="","",I647)</x:f>
      </x:c>
      <x:c r="E667" s="88" t="str">
        <x:f>IF(C667="","",ROUND(D667*$P$16/12,2))</x:f>
      </x:c>
      <x:c r="F667" s="88" t="str">
        <x:f>IF(C667="","",MIN(D667+E667,$Q$16))</x:f>
      </x:c>
      <x:c r="G667" s="88" t="str">
        <x:f>IF(C667="","",MIN(MAX(0,D667+E667-F667),SUMIFS(SONDERZAHLUNGEN!$E$9:$E$128,SONDERZAHLUNGEN!$B$9:$B$128,C667,SONDERZAHLUNGEN!$C$9:$C$128,A667,SONDERZAHLUNGEN!$H$9:$H$128,"OK",SONDERZAHLUNGEN!$F$9:$F$128,"Ja")))</x:f>
      </x:c>
      <x:c r="H667" s="88" t="str">
        <x:f>IF(C667="","",MIN(MAX(0,D667+E667-F667-G667),MAX(0,IF(MONATSBUDGET!$C$40="",0,MONATSBUDGET!$C$40)-SUM(F660:F679)-SUM(H660:H666))))</x:f>
      </x:c>
      <x:c r="I667" s="88" t="str">
        <x:f>IF(C667="","",MAX(0,ROUND(D667+E667-F667-G667-H667,2)))</x:f>
      </x:c>
      <x:c r="J667" s="88" t="str">
        <x:f>IF(C667="","",F667+G667+H667)</x:f>
      </x:c>
      <x:c r="K667" s="88" t="str">
        <x:f>IF(C667="","",MAX(0,SUMIFS(SONDERZAHLUNGEN!$E$9:$E$128,SONDERZAHLUNGEN!$B$9:$B$128,C667,SONDERZAHLUNGEN!$C$9:$C$128,A667,SONDERZAHLUNGEN!$H$9:$H$128,"OK",SONDERZAHLUNGEN!$F$9:$F$128,"Ja")-G667))</x:f>
      </x:c>
    </x:row>
    <x:row r="668" ht="19" customHeight="1">
      <x:c r="A668" s="90" t="n">
        <x:f>MONATSBUDGET!$A$40</x:f>
        <x:v>47209</x:v>
      </x:c>
      <x:c r="B668" t="n">
        <x:f>9</x:f>
        <x:v>9</x:v>
      </x:c>
      <x:c r="C668" t="str">
        <x:f>IF($N$17="","",$N$17)</x:f>
      </x:c>
      <x:c r="D668" s="88" t="str">
        <x:f>IF(C668="","",I648)</x:f>
      </x:c>
      <x:c r="E668" s="88" t="str">
        <x:f>IF(C668="","",ROUND(D668*$P$17/12,2))</x:f>
      </x:c>
      <x:c r="F668" s="88" t="str">
        <x:f>IF(C668="","",MIN(D668+E668,$Q$17))</x:f>
      </x:c>
      <x:c r="G668" s="88" t="str">
        <x:f>IF(C668="","",MIN(MAX(0,D668+E668-F668),SUMIFS(SONDERZAHLUNGEN!$E$9:$E$128,SONDERZAHLUNGEN!$B$9:$B$128,C668,SONDERZAHLUNGEN!$C$9:$C$128,A668,SONDERZAHLUNGEN!$H$9:$H$128,"OK",SONDERZAHLUNGEN!$F$9:$F$128,"Ja")))</x:f>
      </x:c>
      <x:c r="H668" s="88" t="str">
        <x:f>IF(C668="","",MIN(MAX(0,D668+E668-F668-G668),MAX(0,IF(MONATSBUDGET!$C$40="",0,MONATSBUDGET!$C$40)-SUM(F660:F679)-SUM(H660:H667))))</x:f>
      </x:c>
      <x:c r="I668" s="88" t="str">
        <x:f>IF(C668="","",MAX(0,ROUND(D668+E668-F668-G668-H668,2)))</x:f>
      </x:c>
      <x:c r="J668" s="88" t="str">
        <x:f>IF(C668="","",F668+G668+H668)</x:f>
      </x:c>
      <x:c r="K668" s="88" t="str">
        <x:f>IF(C668="","",MAX(0,SUMIFS(SONDERZAHLUNGEN!$E$9:$E$128,SONDERZAHLUNGEN!$B$9:$B$128,C668,SONDERZAHLUNGEN!$C$9:$C$128,A668,SONDERZAHLUNGEN!$H$9:$H$128,"OK",SONDERZAHLUNGEN!$F$9:$F$128,"Ja")-G668))</x:f>
      </x:c>
    </x:row>
    <x:row r="669" ht="19" customHeight="1">
      <x:c r="A669" s="90" t="n">
        <x:f>MONATSBUDGET!$A$40</x:f>
        <x:v>47209</x:v>
      </x:c>
      <x:c r="B669" t="n">
        <x:f>10</x:f>
        <x:v>10</x:v>
      </x:c>
      <x:c r="C669" t="str">
        <x:f>IF($N$18="","",$N$18)</x:f>
      </x:c>
      <x:c r="D669" s="88" t="str">
        <x:f>IF(C669="","",I649)</x:f>
      </x:c>
      <x:c r="E669" s="88" t="str">
        <x:f>IF(C669="","",ROUND(D669*$P$18/12,2))</x:f>
      </x:c>
      <x:c r="F669" s="88" t="str">
        <x:f>IF(C669="","",MIN(D669+E669,$Q$18))</x:f>
      </x:c>
      <x:c r="G669" s="88" t="str">
        <x:f>IF(C669="","",MIN(MAX(0,D669+E669-F669),SUMIFS(SONDERZAHLUNGEN!$E$9:$E$128,SONDERZAHLUNGEN!$B$9:$B$128,C669,SONDERZAHLUNGEN!$C$9:$C$128,A669,SONDERZAHLUNGEN!$H$9:$H$128,"OK",SONDERZAHLUNGEN!$F$9:$F$128,"Ja")))</x:f>
      </x:c>
      <x:c r="H669" s="88" t="str">
        <x:f>IF(C669="","",MIN(MAX(0,D669+E669-F669-G669),MAX(0,IF(MONATSBUDGET!$C$40="",0,MONATSBUDGET!$C$40)-SUM(F660:F679)-SUM(H660:H668))))</x:f>
      </x:c>
      <x:c r="I669" s="88" t="str">
        <x:f>IF(C669="","",MAX(0,ROUND(D669+E669-F669-G669-H669,2)))</x:f>
      </x:c>
      <x:c r="J669" s="88" t="str">
        <x:f>IF(C669="","",F669+G669+H669)</x:f>
      </x:c>
      <x:c r="K669" s="88" t="str">
        <x:f>IF(C669="","",MAX(0,SUMIFS(SONDERZAHLUNGEN!$E$9:$E$128,SONDERZAHLUNGEN!$B$9:$B$128,C669,SONDERZAHLUNGEN!$C$9:$C$128,A669,SONDERZAHLUNGEN!$H$9:$H$128,"OK",SONDERZAHLUNGEN!$F$9:$F$128,"Ja")-G669))</x:f>
      </x:c>
    </x:row>
    <x:row r="670" ht="19" customHeight="1">
      <x:c r="A670" s="90" t="n">
        <x:f>MONATSBUDGET!$A$40</x:f>
        <x:v>47209</x:v>
      </x:c>
      <x:c r="B670" t="n">
        <x:f>11</x:f>
        <x:v>11</x:v>
      </x:c>
      <x:c r="C670" t="str">
        <x:f>IF($N$19="","",$N$19)</x:f>
      </x:c>
      <x:c r="D670" s="88" t="str">
        <x:f>IF(C670="","",I650)</x:f>
      </x:c>
      <x:c r="E670" s="88" t="str">
        <x:f>IF(C670="","",ROUND(D670*$P$19/12,2))</x:f>
      </x:c>
      <x:c r="F670" s="88" t="str">
        <x:f>IF(C670="","",MIN(D670+E670,$Q$19))</x:f>
      </x:c>
      <x:c r="G670" s="88" t="str">
        <x:f>IF(C670="","",MIN(MAX(0,D670+E670-F670),SUMIFS(SONDERZAHLUNGEN!$E$9:$E$128,SONDERZAHLUNGEN!$B$9:$B$128,C670,SONDERZAHLUNGEN!$C$9:$C$128,A670,SONDERZAHLUNGEN!$H$9:$H$128,"OK",SONDERZAHLUNGEN!$F$9:$F$128,"Ja")))</x:f>
      </x:c>
      <x:c r="H670" s="88" t="str">
        <x:f>IF(C670="","",MIN(MAX(0,D670+E670-F670-G670),MAX(0,IF(MONATSBUDGET!$C$40="",0,MONATSBUDGET!$C$40)-SUM(F660:F679)-SUM(H660:H669))))</x:f>
      </x:c>
      <x:c r="I670" s="88" t="str">
        <x:f>IF(C670="","",MAX(0,ROUND(D670+E670-F670-G670-H670,2)))</x:f>
      </x:c>
      <x:c r="J670" s="88" t="str">
        <x:f>IF(C670="","",F670+G670+H670)</x:f>
      </x:c>
      <x:c r="K670" s="88" t="str">
        <x:f>IF(C670="","",MAX(0,SUMIFS(SONDERZAHLUNGEN!$E$9:$E$128,SONDERZAHLUNGEN!$B$9:$B$128,C670,SONDERZAHLUNGEN!$C$9:$C$128,A670,SONDERZAHLUNGEN!$H$9:$H$128,"OK",SONDERZAHLUNGEN!$F$9:$F$128,"Ja")-G670))</x:f>
      </x:c>
    </x:row>
    <x:row r="671" ht="19" customHeight="1">
      <x:c r="A671" s="90" t="n">
        <x:f>MONATSBUDGET!$A$40</x:f>
        <x:v>47209</x:v>
      </x:c>
      <x:c r="B671" t="n">
        <x:f>12</x:f>
        <x:v>12</x:v>
      </x:c>
      <x:c r="C671" t="str">
        <x:f>IF($N$20="","",$N$20)</x:f>
      </x:c>
      <x:c r="D671" s="88" t="str">
        <x:f>IF(C671="","",I651)</x:f>
      </x:c>
      <x:c r="E671" s="88" t="str">
        <x:f>IF(C671="","",ROUND(D671*$P$20/12,2))</x:f>
      </x:c>
      <x:c r="F671" s="88" t="str">
        <x:f>IF(C671="","",MIN(D671+E671,$Q$20))</x:f>
      </x:c>
      <x:c r="G671" s="88" t="str">
        <x:f>IF(C671="","",MIN(MAX(0,D671+E671-F671),SUMIFS(SONDERZAHLUNGEN!$E$9:$E$128,SONDERZAHLUNGEN!$B$9:$B$128,C671,SONDERZAHLUNGEN!$C$9:$C$128,A671,SONDERZAHLUNGEN!$H$9:$H$128,"OK",SONDERZAHLUNGEN!$F$9:$F$128,"Ja")))</x:f>
      </x:c>
      <x:c r="H671" s="88" t="str">
        <x:f>IF(C671="","",MIN(MAX(0,D671+E671-F671-G671),MAX(0,IF(MONATSBUDGET!$C$40="",0,MONATSBUDGET!$C$40)-SUM(F660:F679)-SUM(H660:H670))))</x:f>
      </x:c>
      <x:c r="I671" s="88" t="str">
        <x:f>IF(C671="","",MAX(0,ROUND(D671+E671-F671-G671-H671,2)))</x:f>
      </x:c>
      <x:c r="J671" s="88" t="str">
        <x:f>IF(C671="","",F671+G671+H671)</x:f>
      </x:c>
      <x:c r="K671" s="88" t="str">
        <x:f>IF(C671="","",MAX(0,SUMIFS(SONDERZAHLUNGEN!$E$9:$E$128,SONDERZAHLUNGEN!$B$9:$B$128,C671,SONDERZAHLUNGEN!$C$9:$C$128,A671,SONDERZAHLUNGEN!$H$9:$H$128,"OK",SONDERZAHLUNGEN!$F$9:$F$128,"Ja")-G671))</x:f>
      </x:c>
    </x:row>
    <x:row r="672" ht="19" customHeight="1">
      <x:c r="A672" s="90" t="n">
        <x:f>MONATSBUDGET!$A$40</x:f>
        <x:v>47209</x:v>
      </x:c>
      <x:c r="B672" t="n">
        <x:f>13</x:f>
        <x:v>13</x:v>
      </x:c>
      <x:c r="C672" t="str">
        <x:f>IF($N$21="","",$N$21)</x:f>
      </x:c>
      <x:c r="D672" s="88" t="str">
        <x:f>IF(C672="","",I652)</x:f>
      </x:c>
      <x:c r="E672" s="88" t="str">
        <x:f>IF(C672="","",ROUND(D672*$P$21/12,2))</x:f>
      </x:c>
      <x:c r="F672" s="88" t="str">
        <x:f>IF(C672="","",MIN(D672+E672,$Q$21))</x:f>
      </x:c>
      <x:c r="G672" s="88" t="str">
        <x:f>IF(C672="","",MIN(MAX(0,D672+E672-F672),SUMIFS(SONDERZAHLUNGEN!$E$9:$E$128,SONDERZAHLUNGEN!$B$9:$B$128,C672,SONDERZAHLUNGEN!$C$9:$C$128,A672,SONDERZAHLUNGEN!$H$9:$H$128,"OK",SONDERZAHLUNGEN!$F$9:$F$128,"Ja")))</x:f>
      </x:c>
      <x:c r="H672" s="88" t="str">
        <x:f>IF(C672="","",MIN(MAX(0,D672+E672-F672-G672),MAX(0,IF(MONATSBUDGET!$C$40="",0,MONATSBUDGET!$C$40)-SUM(F660:F679)-SUM(H660:H671))))</x:f>
      </x:c>
      <x:c r="I672" s="88" t="str">
        <x:f>IF(C672="","",MAX(0,ROUND(D672+E672-F672-G672-H672,2)))</x:f>
      </x:c>
      <x:c r="J672" s="88" t="str">
        <x:f>IF(C672="","",F672+G672+H672)</x:f>
      </x:c>
      <x:c r="K672" s="88" t="str">
        <x:f>IF(C672="","",MAX(0,SUMIFS(SONDERZAHLUNGEN!$E$9:$E$128,SONDERZAHLUNGEN!$B$9:$B$128,C672,SONDERZAHLUNGEN!$C$9:$C$128,A672,SONDERZAHLUNGEN!$H$9:$H$128,"OK",SONDERZAHLUNGEN!$F$9:$F$128,"Ja")-G672))</x:f>
      </x:c>
    </x:row>
    <x:row r="673" ht="19" customHeight="1">
      <x:c r="A673" s="90" t="n">
        <x:f>MONATSBUDGET!$A$40</x:f>
        <x:v>47209</x:v>
      </x:c>
      <x:c r="B673" t="n">
        <x:f>14</x:f>
        <x:v>14</x:v>
      </x:c>
      <x:c r="C673" t="str">
        <x:f>IF($N$22="","",$N$22)</x:f>
      </x:c>
      <x:c r="D673" s="88" t="str">
        <x:f>IF(C673="","",I653)</x:f>
      </x:c>
      <x:c r="E673" s="88" t="str">
        <x:f>IF(C673="","",ROUND(D673*$P$22/12,2))</x:f>
      </x:c>
      <x:c r="F673" s="88" t="str">
        <x:f>IF(C673="","",MIN(D673+E673,$Q$22))</x:f>
      </x:c>
      <x:c r="G673" s="88" t="str">
        <x:f>IF(C673="","",MIN(MAX(0,D673+E673-F673),SUMIFS(SONDERZAHLUNGEN!$E$9:$E$128,SONDERZAHLUNGEN!$B$9:$B$128,C673,SONDERZAHLUNGEN!$C$9:$C$128,A673,SONDERZAHLUNGEN!$H$9:$H$128,"OK",SONDERZAHLUNGEN!$F$9:$F$128,"Ja")))</x:f>
      </x:c>
      <x:c r="H673" s="88" t="str">
        <x:f>IF(C673="","",MIN(MAX(0,D673+E673-F673-G673),MAX(0,IF(MONATSBUDGET!$C$40="",0,MONATSBUDGET!$C$40)-SUM(F660:F679)-SUM(H660:H672))))</x:f>
      </x:c>
      <x:c r="I673" s="88" t="str">
        <x:f>IF(C673="","",MAX(0,ROUND(D673+E673-F673-G673-H673,2)))</x:f>
      </x:c>
      <x:c r="J673" s="88" t="str">
        <x:f>IF(C673="","",F673+G673+H673)</x:f>
      </x:c>
      <x:c r="K673" s="88" t="str">
        <x:f>IF(C673="","",MAX(0,SUMIFS(SONDERZAHLUNGEN!$E$9:$E$128,SONDERZAHLUNGEN!$B$9:$B$128,C673,SONDERZAHLUNGEN!$C$9:$C$128,A673,SONDERZAHLUNGEN!$H$9:$H$128,"OK",SONDERZAHLUNGEN!$F$9:$F$128,"Ja")-G673))</x:f>
      </x:c>
    </x:row>
    <x:row r="674" ht="19" customHeight="1">
      <x:c r="A674" s="90" t="n">
        <x:f>MONATSBUDGET!$A$40</x:f>
        <x:v>47209</x:v>
      </x:c>
      <x:c r="B674" t="n">
        <x:f>15</x:f>
        <x:v>15</x:v>
      </x:c>
      <x:c r="C674" t="str">
        <x:f>IF($N$23="","",$N$23)</x:f>
      </x:c>
      <x:c r="D674" s="88" t="str">
        <x:f>IF(C674="","",I654)</x:f>
      </x:c>
      <x:c r="E674" s="88" t="str">
        <x:f>IF(C674="","",ROUND(D674*$P$23/12,2))</x:f>
      </x:c>
      <x:c r="F674" s="88" t="str">
        <x:f>IF(C674="","",MIN(D674+E674,$Q$23))</x:f>
      </x:c>
      <x:c r="G674" s="88" t="str">
        <x:f>IF(C674="","",MIN(MAX(0,D674+E674-F674),SUMIFS(SONDERZAHLUNGEN!$E$9:$E$128,SONDERZAHLUNGEN!$B$9:$B$128,C674,SONDERZAHLUNGEN!$C$9:$C$128,A674,SONDERZAHLUNGEN!$H$9:$H$128,"OK",SONDERZAHLUNGEN!$F$9:$F$128,"Ja")))</x:f>
      </x:c>
      <x:c r="H674" s="88" t="str">
        <x:f>IF(C674="","",MIN(MAX(0,D674+E674-F674-G674),MAX(0,IF(MONATSBUDGET!$C$40="",0,MONATSBUDGET!$C$40)-SUM(F660:F679)-SUM(H660:H673))))</x:f>
      </x:c>
      <x:c r="I674" s="88" t="str">
        <x:f>IF(C674="","",MAX(0,ROUND(D674+E674-F674-G674-H674,2)))</x:f>
      </x:c>
      <x:c r="J674" s="88" t="str">
        <x:f>IF(C674="","",F674+G674+H674)</x:f>
      </x:c>
      <x:c r="K674" s="88" t="str">
        <x:f>IF(C674="","",MAX(0,SUMIFS(SONDERZAHLUNGEN!$E$9:$E$128,SONDERZAHLUNGEN!$B$9:$B$128,C674,SONDERZAHLUNGEN!$C$9:$C$128,A674,SONDERZAHLUNGEN!$H$9:$H$128,"OK",SONDERZAHLUNGEN!$F$9:$F$128,"Ja")-G674))</x:f>
      </x:c>
    </x:row>
    <x:row r="675" ht="19" customHeight="1">
      <x:c r="A675" s="90" t="n">
        <x:f>MONATSBUDGET!$A$40</x:f>
        <x:v>47209</x:v>
      </x:c>
      <x:c r="B675" t="n">
        <x:f>16</x:f>
        <x:v>16</x:v>
      </x:c>
      <x:c r="C675" t="str">
        <x:f>IF($N$24="","",$N$24)</x:f>
      </x:c>
      <x:c r="D675" s="88" t="str">
        <x:f>IF(C675="","",I655)</x:f>
      </x:c>
      <x:c r="E675" s="88" t="str">
        <x:f>IF(C675="","",ROUND(D675*$P$24/12,2))</x:f>
      </x:c>
      <x:c r="F675" s="88" t="str">
        <x:f>IF(C675="","",MIN(D675+E675,$Q$24))</x:f>
      </x:c>
      <x:c r="G675" s="88" t="str">
        <x:f>IF(C675="","",MIN(MAX(0,D675+E675-F675),SUMIFS(SONDERZAHLUNGEN!$E$9:$E$128,SONDERZAHLUNGEN!$B$9:$B$128,C675,SONDERZAHLUNGEN!$C$9:$C$128,A675,SONDERZAHLUNGEN!$H$9:$H$128,"OK",SONDERZAHLUNGEN!$F$9:$F$128,"Ja")))</x:f>
      </x:c>
      <x:c r="H675" s="88" t="str">
        <x:f>IF(C675="","",MIN(MAX(0,D675+E675-F675-G675),MAX(0,IF(MONATSBUDGET!$C$40="",0,MONATSBUDGET!$C$40)-SUM(F660:F679)-SUM(H660:H674))))</x:f>
      </x:c>
      <x:c r="I675" s="88" t="str">
        <x:f>IF(C675="","",MAX(0,ROUND(D675+E675-F675-G675-H675,2)))</x:f>
      </x:c>
      <x:c r="J675" s="88" t="str">
        <x:f>IF(C675="","",F675+G675+H675)</x:f>
      </x:c>
      <x:c r="K675" s="88" t="str">
        <x:f>IF(C675="","",MAX(0,SUMIFS(SONDERZAHLUNGEN!$E$9:$E$128,SONDERZAHLUNGEN!$B$9:$B$128,C675,SONDERZAHLUNGEN!$C$9:$C$128,A675,SONDERZAHLUNGEN!$H$9:$H$128,"OK",SONDERZAHLUNGEN!$F$9:$F$128,"Ja")-G675))</x:f>
      </x:c>
    </x:row>
    <x:row r="676" ht="19" customHeight="1">
      <x:c r="A676" s="90" t="n">
        <x:f>MONATSBUDGET!$A$40</x:f>
        <x:v>47209</x:v>
      </x:c>
      <x:c r="B676" t="n">
        <x:f>17</x:f>
        <x:v>17</x:v>
      </x:c>
      <x:c r="C676" t="str">
        <x:f>IF($N$25="","",$N$25)</x:f>
      </x:c>
      <x:c r="D676" s="88" t="str">
        <x:f>IF(C676="","",I656)</x:f>
      </x:c>
      <x:c r="E676" s="88" t="str">
        <x:f>IF(C676="","",ROUND(D676*$P$25/12,2))</x:f>
      </x:c>
      <x:c r="F676" s="88" t="str">
        <x:f>IF(C676="","",MIN(D676+E676,$Q$25))</x:f>
      </x:c>
      <x:c r="G676" s="88" t="str">
        <x:f>IF(C676="","",MIN(MAX(0,D676+E676-F676),SUMIFS(SONDERZAHLUNGEN!$E$9:$E$128,SONDERZAHLUNGEN!$B$9:$B$128,C676,SONDERZAHLUNGEN!$C$9:$C$128,A676,SONDERZAHLUNGEN!$H$9:$H$128,"OK",SONDERZAHLUNGEN!$F$9:$F$128,"Ja")))</x:f>
      </x:c>
      <x:c r="H676" s="88" t="str">
        <x:f>IF(C676="","",MIN(MAX(0,D676+E676-F676-G676),MAX(0,IF(MONATSBUDGET!$C$40="",0,MONATSBUDGET!$C$40)-SUM(F660:F679)-SUM(H660:H675))))</x:f>
      </x:c>
      <x:c r="I676" s="88" t="str">
        <x:f>IF(C676="","",MAX(0,ROUND(D676+E676-F676-G676-H676,2)))</x:f>
      </x:c>
      <x:c r="J676" s="88" t="str">
        <x:f>IF(C676="","",F676+G676+H676)</x:f>
      </x:c>
      <x:c r="K676" s="88" t="str">
        <x:f>IF(C676="","",MAX(0,SUMIFS(SONDERZAHLUNGEN!$E$9:$E$128,SONDERZAHLUNGEN!$B$9:$B$128,C676,SONDERZAHLUNGEN!$C$9:$C$128,A676,SONDERZAHLUNGEN!$H$9:$H$128,"OK",SONDERZAHLUNGEN!$F$9:$F$128,"Ja")-G676))</x:f>
      </x:c>
    </x:row>
    <x:row r="677" ht="19" customHeight="1">
      <x:c r="A677" s="90" t="n">
        <x:f>MONATSBUDGET!$A$40</x:f>
        <x:v>47209</x:v>
      </x:c>
      <x:c r="B677" t="n">
        <x:f>18</x:f>
        <x:v>18</x:v>
      </x:c>
      <x:c r="C677" t="str">
        <x:f>IF($N$26="","",$N$26)</x:f>
      </x:c>
      <x:c r="D677" s="88" t="str">
        <x:f>IF(C677="","",I657)</x:f>
      </x:c>
      <x:c r="E677" s="88" t="str">
        <x:f>IF(C677="","",ROUND(D677*$P$26/12,2))</x:f>
      </x:c>
      <x:c r="F677" s="88" t="str">
        <x:f>IF(C677="","",MIN(D677+E677,$Q$26))</x:f>
      </x:c>
      <x:c r="G677" s="88" t="str">
        <x:f>IF(C677="","",MIN(MAX(0,D677+E677-F677),SUMIFS(SONDERZAHLUNGEN!$E$9:$E$128,SONDERZAHLUNGEN!$B$9:$B$128,C677,SONDERZAHLUNGEN!$C$9:$C$128,A677,SONDERZAHLUNGEN!$H$9:$H$128,"OK",SONDERZAHLUNGEN!$F$9:$F$128,"Ja")))</x:f>
      </x:c>
      <x:c r="H677" s="88" t="str">
        <x:f>IF(C677="","",MIN(MAX(0,D677+E677-F677-G677),MAX(0,IF(MONATSBUDGET!$C$40="",0,MONATSBUDGET!$C$40)-SUM(F660:F679)-SUM(H660:H676))))</x:f>
      </x:c>
      <x:c r="I677" s="88" t="str">
        <x:f>IF(C677="","",MAX(0,ROUND(D677+E677-F677-G677-H677,2)))</x:f>
      </x:c>
      <x:c r="J677" s="88" t="str">
        <x:f>IF(C677="","",F677+G677+H677)</x:f>
      </x:c>
      <x:c r="K677" s="88" t="str">
        <x:f>IF(C677="","",MAX(0,SUMIFS(SONDERZAHLUNGEN!$E$9:$E$128,SONDERZAHLUNGEN!$B$9:$B$128,C677,SONDERZAHLUNGEN!$C$9:$C$128,A677,SONDERZAHLUNGEN!$H$9:$H$128,"OK",SONDERZAHLUNGEN!$F$9:$F$128,"Ja")-G677))</x:f>
      </x:c>
    </x:row>
    <x:row r="678" ht="19" customHeight="1">
      <x:c r="A678" s="90" t="n">
        <x:f>MONATSBUDGET!$A$40</x:f>
        <x:v>47209</x:v>
      </x:c>
      <x:c r="B678" t="n">
        <x:f>19</x:f>
        <x:v>19</x:v>
      </x:c>
      <x:c r="C678" t="str">
        <x:f>IF($N$27="","",$N$27)</x:f>
      </x:c>
      <x:c r="D678" s="88" t="str">
        <x:f>IF(C678="","",I658)</x:f>
      </x:c>
      <x:c r="E678" s="88" t="str">
        <x:f>IF(C678="","",ROUND(D678*$P$27/12,2))</x:f>
      </x:c>
      <x:c r="F678" s="88" t="str">
        <x:f>IF(C678="","",MIN(D678+E678,$Q$27))</x:f>
      </x:c>
      <x:c r="G678" s="88" t="str">
        <x:f>IF(C678="","",MIN(MAX(0,D678+E678-F678),SUMIFS(SONDERZAHLUNGEN!$E$9:$E$128,SONDERZAHLUNGEN!$B$9:$B$128,C678,SONDERZAHLUNGEN!$C$9:$C$128,A678,SONDERZAHLUNGEN!$H$9:$H$128,"OK",SONDERZAHLUNGEN!$F$9:$F$128,"Ja")))</x:f>
      </x:c>
      <x:c r="H678" s="88" t="str">
        <x:f>IF(C678="","",MIN(MAX(0,D678+E678-F678-G678),MAX(0,IF(MONATSBUDGET!$C$40="",0,MONATSBUDGET!$C$40)-SUM(F660:F679)-SUM(H660:H677))))</x:f>
      </x:c>
      <x:c r="I678" s="88" t="str">
        <x:f>IF(C678="","",MAX(0,ROUND(D678+E678-F678-G678-H678,2)))</x:f>
      </x:c>
      <x:c r="J678" s="88" t="str">
        <x:f>IF(C678="","",F678+G678+H678)</x:f>
      </x:c>
      <x:c r="K678" s="88" t="str">
        <x:f>IF(C678="","",MAX(0,SUMIFS(SONDERZAHLUNGEN!$E$9:$E$128,SONDERZAHLUNGEN!$B$9:$B$128,C678,SONDERZAHLUNGEN!$C$9:$C$128,A678,SONDERZAHLUNGEN!$H$9:$H$128,"OK",SONDERZAHLUNGEN!$F$9:$F$128,"Ja")-G678))</x:f>
      </x:c>
    </x:row>
    <x:row r="679" ht="19" customHeight="1">
      <x:c r="A679" s="90" t="n">
        <x:f>MONATSBUDGET!$A$40</x:f>
        <x:v>47209</x:v>
      </x:c>
      <x:c r="B679" t="n">
        <x:f>20</x:f>
        <x:v>20</x:v>
      </x:c>
      <x:c r="C679" t="str">
        <x:f>IF($N$28="","",$N$28)</x:f>
      </x:c>
      <x:c r="D679" s="88" t="str">
        <x:f>IF(C679="","",I659)</x:f>
      </x:c>
      <x:c r="E679" s="88" t="str">
        <x:f>IF(C679="","",ROUND(D679*$P$28/12,2))</x:f>
      </x:c>
      <x:c r="F679" s="88" t="str">
        <x:f>IF(C679="","",MIN(D679+E679,$Q$28))</x:f>
      </x:c>
      <x:c r="G679" s="88" t="str">
        <x:f>IF(C679="","",MIN(MAX(0,D679+E679-F679),SUMIFS(SONDERZAHLUNGEN!$E$9:$E$128,SONDERZAHLUNGEN!$B$9:$B$128,C679,SONDERZAHLUNGEN!$C$9:$C$128,A679,SONDERZAHLUNGEN!$H$9:$H$128,"OK",SONDERZAHLUNGEN!$F$9:$F$128,"Ja")))</x:f>
      </x:c>
      <x:c r="H679" s="88" t="str">
        <x:f>IF(C679="","",MIN(MAX(0,D679+E679-F679-G679),MAX(0,IF(MONATSBUDGET!$C$40="",0,MONATSBUDGET!$C$40)-SUM(F660:F679)-SUM(H660:H678))))</x:f>
      </x:c>
      <x:c r="I679" s="88" t="str">
        <x:f>IF(C679="","",MAX(0,ROUND(D679+E679-F679-G679-H679,2)))</x:f>
      </x:c>
      <x:c r="J679" s="88" t="str">
        <x:f>IF(C679="","",F679+G679+H679)</x:f>
      </x:c>
      <x:c r="K679" s="88" t="str">
        <x:f>IF(C679="","",MAX(0,SUMIFS(SONDERZAHLUNGEN!$E$9:$E$128,SONDERZAHLUNGEN!$B$9:$B$128,C679,SONDERZAHLUNGEN!$C$9:$C$128,A679,SONDERZAHLUNGEN!$H$9:$H$128,"OK",SONDERZAHLUNGEN!$F$9:$F$128,"Ja")-G679))</x:f>
      </x:c>
    </x:row>
    <x:row r="680" ht="19" customHeight="1">
      <x:c r="A680" s="90" t="n">
        <x:f>MONATSBUDGET!$A$41</x:f>
        <x:v>47239</x:v>
      </x:c>
      <x:c r="B680" t="n">
        <x:f>1</x:f>
        <x:v>1</x:v>
      </x:c>
      <x:c r="C680" t="str">
        <x:f>IF($N$9="","",$N$9)</x:f>
      </x:c>
      <x:c r="D680" s="88" t="str">
        <x:f>IF(C680="","",I660)</x:f>
      </x:c>
      <x:c r="E680" s="88" t="str">
        <x:f>IF(C680="","",ROUND(D680*$P$9/12,2))</x:f>
      </x:c>
      <x:c r="F680" s="88" t="str">
        <x:f>IF(C680="","",MIN(D680+E680,$Q$9))</x:f>
      </x:c>
      <x:c r="G680" s="88" t="str">
        <x:f>IF(C680="","",MIN(MAX(0,D680+E680-F680),SUMIFS(SONDERZAHLUNGEN!$E$9:$E$128,SONDERZAHLUNGEN!$B$9:$B$128,C680,SONDERZAHLUNGEN!$C$9:$C$128,A680,SONDERZAHLUNGEN!$H$9:$H$128,"OK",SONDERZAHLUNGEN!$F$9:$F$128,"Ja")))</x:f>
      </x:c>
      <x:c r="H680" s="88" t="str">
        <x:f>IF(C680="","",MIN(MAX(0,D680+E680-F680-G680),MAX(0,IF(MONATSBUDGET!$C$41="",0,MONATSBUDGET!$C$41)-SUM(F680:F699)-0)))</x:f>
      </x:c>
      <x:c r="I680" s="88" t="str">
        <x:f>IF(C680="","",MAX(0,ROUND(D680+E680-F680-G680-H680,2)))</x:f>
      </x:c>
      <x:c r="J680" s="88" t="str">
        <x:f>IF(C680="","",F680+G680+H680)</x:f>
      </x:c>
      <x:c r="K680" s="88" t="str">
        <x:f>IF(C680="","",MAX(0,SUMIFS(SONDERZAHLUNGEN!$E$9:$E$128,SONDERZAHLUNGEN!$B$9:$B$128,C680,SONDERZAHLUNGEN!$C$9:$C$128,A680,SONDERZAHLUNGEN!$H$9:$H$128,"OK",SONDERZAHLUNGEN!$F$9:$F$128,"Ja")-G680))</x:f>
      </x:c>
    </x:row>
    <x:row r="681" ht="19" customHeight="1">
      <x:c r="A681" s="90" t="n">
        <x:f>MONATSBUDGET!$A$41</x:f>
        <x:v>47239</x:v>
      </x:c>
      <x:c r="B681" t="n">
        <x:f>2</x:f>
        <x:v>2</x:v>
      </x:c>
      <x:c r="C681" t="str">
        <x:f>IF($N$10="","",$N$10)</x:f>
      </x:c>
      <x:c r="D681" s="88" t="str">
        <x:f>IF(C681="","",I661)</x:f>
      </x:c>
      <x:c r="E681" s="88" t="str">
        <x:f>IF(C681="","",ROUND(D681*$P$10/12,2))</x:f>
      </x:c>
      <x:c r="F681" s="88" t="str">
        <x:f>IF(C681="","",MIN(D681+E681,$Q$10))</x:f>
      </x:c>
      <x:c r="G681" s="88" t="str">
        <x:f>IF(C681="","",MIN(MAX(0,D681+E681-F681),SUMIFS(SONDERZAHLUNGEN!$E$9:$E$128,SONDERZAHLUNGEN!$B$9:$B$128,C681,SONDERZAHLUNGEN!$C$9:$C$128,A681,SONDERZAHLUNGEN!$H$9:$H$128,"OK",SONDERZAHLUNGEN!$F$9:$F$128,"Ja")))</x:f>
      </x:c>
      <x:c r="H681" s="88" t="str">
        <x:f>IF(C681="","",MIN(MAX(0,D681+E681-F681-G681),MAX(0,IF(MONATSBUDGET!$C$41="",0,MONATSBUDGET!$C$41)-SUM(F680:F699)-SUM(H680:H680))))</x:f>
      </x:c>
      <x:c r="I681" s="88" t="str">
        <x:f>IF(C681="","",MAX(0,ROUND(D681+E681-F681-G681-H681,2)))</x:f>
      </x:c>
      <x:c r="J681" s="88" t="str">
        <x:f>IF(C681="","",F681+G681+H681)</x:f>
      </x:c>
      <x:c r="K681" s="88" t="str">
        <x:f>IF(C681="","",MAX(0,SUMIFS(SONDERZAHLUNGEN!$E$9:$E$128,SONDERZAHLUNGEN!$B$9:$B$128,C681,SONDERZAHLUNGEN!$C$9:$C$128,A681,SONDERZAHLUNGEN!$H$9:$H$128,"OK",SONDERZAHLUNGEN!$F$9:$F$128,"Ja")-G681))</x:f>
      </x:c>
    </x:row>
    <x:row r="682" ht="19" customHeight="1">
      <x:c r="A682" s="90" t="n">
        <x:f>MONATSBUDGET!$A$41</x:f>
        <x:v>47239</x:v>
      </x:c>
      <x:c r="B682" t="n">
        <x:f>3</x:f>
        <x:v>3</x:v>
      </x:c>
      <x:c r="C682" t="str">
        <x:f>IF($N$11="","",$N$11)</x:f>
      </x:c>
      <x:c r="D682" s="88" t="str">
        <x:f>IF(C682="","",I662)</x:f>
      </x:c>
      <x:c r="E682" s="88" t="str">
        <x:f>IF(C682="","",ROUND(D682*$P$11/12,2))</x:f>
      </x:c>
      <x:c r="F682" s="88" t="str">
        <x:f>IF(C682="","",MIN(D682+E682,$Q$11))</x:f>
      </x:c>
      <x:c r="G682" s="88" t="str">
        <x:f>IF(C682="","",MIN(MAX(0,D682+E682-F682),SUMIFS(SONDERZAHLUNGEN!$E$9:$E$128,SONDERZAHLUNGEN!$B$9:$B$128,C682,SONDERZAHLUNGEN!$C$9:$C$128,A682,SONDERZAHLUNGEN!$H$9:$H$128,"OK",SONDERZAHLUNGEN!$F$9:$F$128,"Ja")))</x:f>
      </x:c>
      <x:c r="H682" s="88" t="str">
        <x:f>IF(C682="","",MIN(MAX(0,D682+E682-F682-G682),MAX(0,IF(MONATSBUDGET!$C$41="",0,MONATSBUDGET!$C$41)-SUM(F680:F699)-SUM(H680:H681))))</x:f>
      </x:c>
      <x:c r="I682" s="88" t="str">
        <x:f>IF(C682="","",MAX(0,ROUND(D682+E682-F682-G682-H682,2)))</x:f>
      </x:c>
      <x:c r="J682" s="88" t="str">
        <x:f>IF(C682="","",F682+G682+H682)</x:f>
      </x:c>
      <x:c r="K682" s="88" t="str">
        <x:f>IF(C682="","",MAX(0,SUMIFS(SONDERZAHLUNGEN!$E$9:$E$128,SONDERZAHLUNGEN!$B$9:$B$128,C682,SONDERZAHLUNGEN!$C$9:$C$128,A682,SONDERZAHLUNGEN!$H$9:$H$128,"OK",SONDERZAHLUNGEN!$F$9:$F$128,"Ja")-G682))</x:f>
      </x:c>
    </x:row>
    <x:row r="683" ht="19" customHeight="1">
      <x:c r="A683" s="90" t="n">
        <x:f>MONATSBUDGET!$A$41</x:f>
        <x:v>47239</x:v>
      </x:c>
      <x:c r="B683" t="n">
        <x:f>4</x:f>
        <x:v>4</x:v>
      </x:c>
      <x:c r="C683" t="str">
        <x:f>IF($N$12="","",$N$12)</x:f>
      </x:c>
      <x:c r="D683" s="88" t="str">
        <x:f>IF(C683="","",I663)</x:f>
      </x:c>
      <x:c r="E683" s="88" t="str">
        <x:f>IF(C683="","",ROUND(D683*$P$12/12,2))</x:f>
      </x:c>
      <x:c r="F683" s="88" t="str">
        <x:f>IF(C683="","",MIN(D683+E683,$Q$12))</x:f>
      </x:c>
      <x:c r="G683" s="88" t="str">
        <x:f>IF(C683="","",MIN(MAX(0,D683+E683-F683),SUMIFS(SONDERZAHLUNGEN!$E$9:$E$128,SONDERZAHLUNGEN!$B$9:$B$128,C683,SONDERZAHLUNGEN!$C$9:$C$128,A683,SONDERZAHLUNGEN!$H$9:$H$128,"OK",SONDERZAHLUNGEN!$F$9:$F$128,"Ja")))</x:f>
      </x:c>
      <x:c r="H683" s="88" t="str">
        <x:f>IF(C683="","",MIN(MAX(0,D683+E683-F683-G683),MAX(0,IF(MONATSBUDGET!$C$41="",0,MONATSBUDGET!$C$41)-SUM(F680:F699)-SUM(H680:H682))))</x:f>
      </x:c>
      <x:c r="I683" s="88" t="str">
        <x:f>IF(C683="","",MAX(0,ROUND(D683+E683-F683-G683-H683,2)))</x:f>
      </x:c>
      <x:c r="J683" s="88" t="str">
        <x:f>IF(C683="","",F683+G683+H683)</x:f>
      </x:c>
      <x:c r="K683" s="88" t="str">
        <x:f>IF(C683="","",MAX(0,SUMIFS(SONDERZAHLUNGEN!$E$9:$E$128,SONDERZAHLUNGEN!$B$9:$B$128,C683,SONDERZAHLUNGEN!$C$9:$C$128,A683,SONDERZAHLUNGEN!$H$9:$H$128,"OK",SONDERZAHLUNGEN!$F$9:$F$128,"Ja")-G683))</x:f>
      </x:c>
    </x:row>
    <x:row r="684" ht="19" customHeight="1">
      <x:c r="A684" s="90" t="n">
        <x:f>MONATSBUDGET!$A$41</x:f>
        <x:v>47239</x:v>
      </x:c>
      <x:c r="B684" t="n">
        <x:f>5</x:f>
        <x:v>5</x:v>
      </x:c>
      <x:c r="C684" t="str">
        <x:f>IF($N$13="","",$N$13)</x:f>
      </x:c>
      <x:c r="D684" s="88" t="str">
        <x:f>IF(C684="","",I664)</x:f>
      </x:c>
      <x:c r="E684" s="88" t="str">
        <x:f>IF(C684="","",ROUND(D684*$P$13/12,2))</x:f>
      </x:c>
      <x:c r="F684" s="88" t="str">
        <x:f>IF(C684="","",MIN(D684+E684,$Q$13))</x:f>
      </x:c>
      <x:c r="G684" s="88" t="str">
        <x:f>IF(C684="","",MIN(MAX(0,D684+E684-F684),SUMIFS(SONDERZAHLUNGEN!$E$9:$E$128,SONDERZAHLUNGEN!$B$9:$B$128,C684,SONDERZAHLUNGEN!$C$9:$C$128,A684,SONDERZAHLUNGEN!$H$9:$H$128,"OK",SONDERZAHLUNGEN!$F$9:$F$128,"Ja")))</x:f>
      </x:c>
      <x:c r="H684" s="88" t="str">
        <x:f>IF(C684="","",MIN(MAX(0,D684+E684-F684-G684),MAX(0,IF(MONATSBUDGET!$C$41="",0,MONATSBUDGET!$C$41)-SUM(F680:F699)-SUM(H680:H683))))</x:f>
      </x:c>
      <x:c r="I684" s="88" t="str">
        <x:f>IF(C684="","",MAX(0,ROUND(D684+E684-F684-G684-H684,2)))</x:f>
      </x:c>
      <x:c r="J684" s="88" t="str">
        <x:f>IF(C684="","",F684+G684+H684)</x:f>
      </x:c>
      <x:c r="K684" s="88" t="str">
        <x:f>IF(C684="","",MAX(0,SUMIFS(SONDERZAHLUNGEN!$E$9:$E$128,SONDERZAHLUNGEN!$B$9:$B$128,C684,SONDERZAHLUNGEN!$C$9:$C$128,A684,SONDERZAHLUNGEN!$H$9:$H$128,"OK",SONDERZAHLUNGEN!$F$9:$F$128,"Ja")-G684))</x:f>
      </x:c>
    </x:row>
    <x:row r="685" ht="19" customHeight="1">
      <x:c r="A685" s="90" t="n">
        <x:f>MONATSBUDGET!$A$41</x:f>
        <x:v>47239</x:v>
      </x:c>
      <x:c r="B685" t="n">
        <x:f>6</x:f>
        <x:v>6</x:v>
      </x:c>
      <x:c r="C685" t="str">
        <x:f>IF($N$14="","",$N$14)</x:f>
      </x:c>
      <x:c r="D685" s="88" t="str">
        <x:f>IF(C685="","",I665)</x:f>
      </x:c>
      <x:c r="E685" s="88" t="str">
        <x:f>IF(C685="","",ROUND(D685*$P$14/12,2))</x:f>
      </x:c>
      <x:c r="F685" s="88" t="str">
        <x:f>IF(C685="","",MIN(D685+E685,$Q$14))</x:f>
      </x:c>
      <x:c r="G685" s="88" t="str">
        <x:f>IF(C685="","",MIN(MAX(0,D685+E685-F685),SUMIFS(SONDERZAHLUNGEN!$E$9:$E$128,SONDERZAHLUNGEN!$B$9:$B$128,C685,SONDERZAHLUNGEN!$C$9:$C$128,A685,SONDERZAHLUNGEN!$H$9:$H$128,"OK",SONDERZAHLUNGEN!$F$9:$F$128,"Ja")))</x:f>
      </x:c>
      <x:c r="H685" s="88" t="str">
        <x:f>IF(C685="","",MIN(MAX(0,D685+E685-F685-G685),MAX(0,IF(MONATSBUDGET!$C$41="",0,MONATSBUDGET!$C$41)-SUM(F680:F699)-SUM(H680:H684))))</x:f>
      </x:c>
      <x:c r="I685" s="88" t="str">
        <x:f>IF(C685="","",MAX(0,ROUND(D685+E685-F685-G685-H685,2)))</x:f>
      </x:c>
      <x:c r="J685" s="88" t="str">
        <x:f>IF(C685="","",F685+G685+H685)</x:f>
      </x:c>
      <x:c r="K685" s="88" t="str">
        <x:f>IF(C685="","",MAX(0,SUMIFS(SONDERZAHLUNGEN!$E$9:$E$128,SONDERZAHLUNGEN!$B$9:$B$128,C685,SONDERZAHLUNGEN!$C$9:$C$128,A685,SONDERZAHLUNGEN!$H$9:$H$128,"OK",SONDERZAHLUNGEN!$F$9:$F$128,"Ja")-G685))</x:f>
      </x:c>
    </x:row>
    <x:row r="686" ht="19" customHeight="1">
      <x:c r="A686" s="90" t="n">
        <x:f>MONATSBUDGET!$A$41</x:f>
        <x:v>47239</x:v>
      </x:c>
      <x:c r="B686" t="n">
        <x:f>7</x:f>
        <x:v>7</x:v>
      </x:c>
      <x:c r="C686" t="str">
        <x:f>IF($N$15="","",$N$15)</x:f>
      </x:c>
      <x:c r="D686" s="88" t="str">
        <x:f>IF(C686="","",I666)</x:f>
      </x:c>
      <x:c r="E686" s="88" t="str">
        <x:f>IF(C686="","",ROUND(D686*$P$15/12,2))</x:f>
      </x:c>
      <x:c r="F686" s="88" t="str">
        <x:f>IF(C686="","",MIN(D686+E686,$Q$15))</x:f>
      </x:c>
      <x:c r="G686" s="88" t="str">
        <x:f>IF(C686="","",MIN(MAX(0,D686+E686-F686),SUMIFS(SONDERZAHLUNGEN!$E$9:$E$128,SONDERZAHLUNGEN!$B$9:$B$128,C686,SONDERZAHLUNGEN!$C$9:$C$128,A686,SONDERZAHLUNGEN!$H$9:$H$128,"OK",SONDERZAHLUNGEN!$F$9:$F$128,"Ja")))</x:f>
      </x:c>
      <x:c r="H686" s="88" t="str">
        <x:f>IF(C686="","",MIN(MAX(0,D686+E686-F686-G686),MAX(0,IF(MONATSBUDGET!$C$41="",0,MONATSBUDGET!$C$41)-SUM(F680:F699)-SUM(H680:H685))))</x:f>
      </x:c>
      <x:c r="I686" s="88" t="str">
        <x:f>IF(C686="","",MAX(0,ROUND(D686+E686-F686-G686-H686,2)))</x:f>
      </x:c>
      <x:c r="J686" s="88" t="str">
        <x:f>IF(C686="","",F686+G686+H686)</x:f>
      </x:c>
      <x:c r="K686" s="88" t="str">
        <x:f>IF(C686="","",MAX(0,SUMIFS(SONDERZAHLUNGEN!$E$9:$E$128,SONDERZAHLUNGEN!$B$9:$B$128,C686,SONDERZAHLUNGEN!$C$9:$C$128,A686,SONDERZAHLUNGEN!$H$9:$H$128,"OK",SONDERZAHLUNGEN!$F$9:$F$128,"Ja")-G686))</x:f>
      </x:c>
    </x:row>
    <x:row r="687" ht="19" customHeight="1">
      <x:c r="A687" s="90" t="n">
        <x:f>MONATSBUDGET!$A$41</x:f>
        <x:v>47239</x:v>
      </x:c>
      <x:c r="B687" t="n">
        <x:f>8</x:f>
        <x:v>8</x:v>
      </x:c>
      <x:c r="C687" t="str">
        <x:f>IF($N$16="","",$N$16)</x:f>
      </x:c>
      <x:c r="D687" s="88" t="str">
        <x:f>IF(C687="","",I667)</x:f>
      </x:c>
      <x:c r="E687" s="88" t="str">
        <x:f>IF(C687="","",ROUND(D687*$P$16/12,2))</x:f>
      </x:c>
      <x:c r="F687" s="88" t="str">
        <x:f>IF(C687="","",MIN(D687+E687,$Q$16))</x:f>
      </x:c>
      <x:c r="G687" s="88" t="str">
        <x:f>IF(C687="","",MIN(MAX(0,D687+E687-F687),SUMIFS(SONDERZAHLUNGEN!$E$9:$E$128,SONDERZAHLUNGEN!$B$9:$B$128,C687,SONDERZAHLUNGEN!$C$9:$C$128,A687,SONDERZAHLUNGEN!$H$9:$H$128,"OK",SONDERZAHLUNGEN!$F$9:$F$128,"Ja")))</x:f>
      </x:c>
      <x:c r="H687" s="88" t="str">
        <x:f>IF(C687="","",MIN(MAX(0,D687+E687-F687-G687),MAX(0,IF(MONATSBUDGET!$C$41="",0,MONATSBUDGET!$C$41)-SUM(F680:F699)-SUM(H680:H686))))</x:f>
      </x:c>
      <x:c r="I687" s="88" t="str">
        <x:f>IF(C687="","",MAX(0,ROUND(D687+E687-F687-G687-H687,2)))</x:f>
      </x:c>
      <x:c r="J687" s="88" t="str">
        <x:f>IF(C687="","",F687+G687+H687)</x:f>
      </x:c>
      <x:c r="K687" s="88" t="str">
        <x:f>IF(C687="","",MAX(0,SUMIFS(SONDERZAHLUNGEN!$E$9:$E$128,SONDERZAHLUNGEN!$B$9:$B$128,C687,SONDERZAHLUNGEN!$C$9:$C$128,A687,SONDERZAHLUNGEN!$H$9:$H$128,"OK",SONDERZAHLUNGEN!$F$9:$F$128,"Ja")-G687))</x:f>
      </x:c>
    </x:row>
    <x:row r="688" ht="19" customHeight="1">
      <x:c r="A688" s="90" t="n">
        <x:f>MONATSBUDGET!$A$41</x:f>
        <x:v>47239</x:v>
      </x:c>
      <x:c r="B688" t="n">
        <x:f>9</x:f>
        <x:v>9</x:v>
      </x:c>
      <x:c r="C688" t="str">
        <x:f>IF($N$17="","",$N$17)</x:f>
      </x:c>
      <x:c r="D688" s="88" t="str">
        <x:f>IF(C688="","",I668)</x:f>
      </x:c>
      <x:c r="E688" s="88" t="str">
        <x:f>IF(C688="","",ROUND(D688*$P$17/12,2))</x:f>
      </x:c>
      <x:c r="F688" s="88" t="str">
        <x:f>IF(C688="","",MIN(D688+E688,$Q$17))</x:f>
      </x:c>
      <x:c r="G688" s="88" t="str">
        <x:f>IF(C688="","",MIN(MAX(0,D688+E688-F688),SUMIFS(SONDERZAHLUNGEN!$E$9:$E$128,SONDERZAHLUNGEN!$B$9:$B$128,C688,SONDERZAHLUNGEN!$C$9:$C$128,A688,SONDERZAHLUNGEN!$H$9:$H$128,"OK",SONDERZAHLUNGEN!$F$9:$F$128,"Ja")))</x:f>
      </x:c>
      <x:c r="H688" s="88" t="str">
        <x:f>IF(C688="","",MIN(MAX(0,D688+E688-F688-G688),MAX(0,IF(MONATSBUDGET!$C$41="",0,MONATSBUDGET!$C$41)-SUM(F680:F699)-SUM(H680:H687))))</x:f>
      </x:c>
      <x:c r="I688" s="88" t="str">
        <x:f>IF(C688="","",MAX(0,ROUND(D688+E688-F688-G688-H688,2)))</x:f>
      </x:c>
      <x:c r="J688" s="88" t="str">
        <x:f>IF(C688="","",F688+G688+H688)</x:f>
      </x:c>
      <x:c r="K688" s="88" t="str">
        <x:f>IF(C688="","",MAX(0,SUMIFS(SONDERZAHLUNGEN!$E$9:$E$128,SONDERZAHLUNGEN!$B$9:$B$128,C688,SONDERZAHLUNGEN!$C$9:$C$128,A688,SONDERZAHLUNGEN!$H$9:$H$128,"OK",SONDERZAHLUNGEN!$F$9:$F$128,"Ja")-G688))</x:f>
      </x:c>
    </x:row>
    <x:row r="689" ht="19" customHeight="1">
      <x:c r="A689" s="90" t="n">
        <x:f>MONATSBUDGET!$A$41</x:f>
        <x:v>47239</x:v>
      </x:c>
      <x:c r="B689" t="n">
        <x:f>10</x:f>
        <x:v>10</x:v>
      </x:c>
      <x:c r="C689" t="str">
        <x:f>IF($N$18="","",$N$18)</x:f>
      </x:c>
      <x:c r="D689" s="88" t="str">
        <x:f>IF(C689="","",I669)</x:f>
      </x:c>
      <x:c r="E689" s="88" t="str">
        <x:f>IF(C689="","",ROUND(D689*$P$18/12,2))</x:f>
      </x:c>
      <x:c r="F689" s="88" t="str">
        <x:f>IF(C689="","",MIN(D689+E689,$Q$18))</x:f>
      </x:c>
      <x:c r="G689" s="88" t="str">
        <x:f>IF(C689="","",MIN(MAX(0,D689+E689-F689),SUMIFS(SONDERZAHLUNGEN!$E$9:$E$128,SONDERZAHLUNGEN!$B$9:$B$128,C689,SONDERZAHLUNGEN!$C$9:$C$128,A689,SONDERZAHLUNGEN!$H$9:$H$128,"OK",SONDERZAHLUNGEN!$F$9:$F$128,"Ja")))</x:f>
      </x:c>
      <x:c r="H689" s="88" t="str">
        <x:f>IF(C689="","",MIN(MAX(0,D689+E689-F689-G689),MAX(0,IF(MONATSBUDGET!$C$41="",0,MONATSBUDGET!$C$41)-SUM(F680:F699)-SUM(H680:H688))))</x:f>
      </x:c>
      <x:c r="I689" s="88" t="str">
        <x:f>IF(C689="","",MAX(0,ROUND(D689+E689-F689-G689-H689,2)))</x:f>
      </x:c>
      <x:c r="J689" s="88" t="str">
        <x:f>IF(C689="","",F689+G689+H689)</x:f>
      </x:c>
      <x:c r="K689" s="88" t="str">
        <x:f>IF(C689="","",MAX(0,SUMIFS(SONDERZAHLUNGEN!$E$9:$E$128,SONDERZAHLUNGEN!$B$9:$B$128,C689,SONDERZAHLUNGEN!$C$9:$C$128,A689,SONDERZAHLUNGEN!$H$9:$H$128,"OK",SONDERZAHLUNGEN!$F$9:$F$128,"Ja")-G689))</x:f>
      </x:c>
    </x:row>
    <x:row r="690" ht="19" customHeight="1">
      <x:c r="A690" s="90" t="n">
        <x:f>MONATSBUDGET!$A$41</x:f>
        <x:v>47239</x:v>
      </x:c>
      <x:c r="B690" t="n">
        <x:f>11</x:f>
        <x:v>11</x:v>
      </x:c>
      <x:c r="C690" t="str">
        <x:f>IF($N$19="","",$N$19)</x:f>
      </x:c>
      <x:c r="D690" s="88" t="str">
        <x:f>IF(C690="","",I670)</x:f>
      </x:c>
      <x:c r="E690" s="88" t="str">
        <x:f>IF(C690="","",ROUND(D690*$P$19/12,2))</x:f>
      </x:c>
      <x:c r="F690" s="88" t="str">
        <x:f>IF(C690="","",MIN(D690+E690,$Q$19))</x:f>
      </x:c>
      <x:c r="G690" s="88" t="str">
        <x:f>IF(C690="","",MIN(MAX(0,D690+E690-F690),SUMIFS(SONDERZAHLUNGEN!$E$9:$E$128,SONDERZAHLUNGEN!$B$9:$B$128,C690,SONDERZAHLUNGEN!$C$9:$C$128,A690,SONDERZAHLUNGEN!$H$9:$H$128,"OK",SONDERZAHLUNGEN!$F$9:$F$128,"Ja")))</x:f>
      </x:c>
      <x:c r="H690" s="88" t="str">
        <x:f>IF(C690="","",MIN(MAX(0,D690+E690-F690-G690),MAX(0,IF(MONATSBUDGET!$C$41="",0,MONATSBUDGET!$C$41)-SUM(F680:F699)-SUM(H680:H689))))</x:f>
      </x:c>
      <x:c r="I690" s="88" t="str">
        <x:f>IF(C690="","",MAX(0,ROUND(D690+E690-F690-G690-H690,2)))</x:f>
      </x:c>
      <x:c r="J690" s="88" t="str">
        <x:f>IF(C690="","",F690+G690+H690)</x:f>
      </x:c>
      <x:c r="K690" s="88" t="str">
        <x:f>IF(C690="","",MAX(0,SUMIFS(SONDERZAHLUNGEN!$E$9:$E$128,SONDERZAHLUNGEN!$B$9:$B$128,C690,SONDERZAHLUNGEN!$C$9:$C$128,A690,SONDERZAHLUNGEN!$H$9:$H$128,"OK",SONDERZAHLUNGEN!$F$9:$F$128,"Ja")-G690))</x:f>
      </x:c>
    </x:row>
    <x:row r="691" ht="19" customHeight="1">
      <x:c r="A691" s="90" t="n">
        <x:f>MONATSBUDGET!$A$41</x:f>
        <x:v>47239</x:v>
      </x:c>
      <x:c r="B691" t="n">
        <x:f>12</x:f>
        <x:v>12</x:v>
      </x:c>
      <x:c r="C691" t="str">
        <x:f>IF($N$20="","",$N$20)</x:f>
      </x:c>
      <x:c r="D691" s="88" t="str">
        <x:f>IF(C691="","",I671)</x:f>
      </x:c>
      <x:c r="E691" s="88" t="str">
        <x:f>IF(C691="","",ROUND(D691*$P$20/12,2))</x:f>
      </x:c>
      <x:c r="F691" s="88" t="str">
        <x:f>IF(C691="","",MIN(D691+E691,$Q$20))</x:f>
      </x:c>
      <x:c r="G691" s="88" t="str">
        <x:f>IF(C691="","",MIN(MAX(0,D691+E691-F691),SUMIFS(SONDERZAHLUNGEN!$E$9:$E$128,SONDERZAHLUNGEN!$B$9:$B$128,C691,SONDERZAHLUNGEN!$C$9:$C$128,A691,SONDERZAHLUNGEN!$H$9:$H$128,"OK",SONDERZAHLUNGEN!$F$9:$F$128,"Ja")))</x:f>
      </x:c>
      <x:c r="H691" s="88" t="str">
        <x:f>IF(C691="","",MIN(MAX(0,D691+E691-F691-G691),MAX(0,IF(MONATSBUDGET!$C$41="",0,MONATSBUDGET!$C$41)-SUM(F680:F699)-SUM(H680:H690))))</x:f>
      </x:c>
      <x:c r="I691" s="88" t="str">
        <x:f>IF(C691="","",MAX(0,ROUND(D691+E691-F691-G691-H691,2)))</x:f>
      </x:c>
      <x:c r="J691" s="88" t="str">
        <x:f>IF(C691="","",F691+G691+H691)</x:f>
      </x:c>
      <x:c r="K691" s="88" t="str">
        <x:f>IF(C691="","",MAX(0,SUMIFS(SONDERZAHLUNGEN!$E$9:$E$128,SONDERZAHLUNGEN!$B$9:$B$128,C691,SONDERZAHLUNGEN!$C$9:$C$128,A691,SONDERZAHLUNGEN!$H$9:$H$128,"OK",SONDERZAHLUNGEN!$F$9:$F$128,"Ja")-G691))</x:f>
      </x:c>
    </x:row>
    <x:row r="692" ht="19" customHeight="1">
      <x:c r="A692" s="90" t="n">
        <x:f>MONATSBUDGET!$A$41</x:f>
        <x:v>47239</x:v>
      </x:c>
      <x:c r="B692" t="n">
        <x:f>13</x:f>
        <x:v>13</x:v>
      </x:c>
      <x:c r="C692" t="str">
        <x:f>IF($N$21="","",$N$21)</x:f>
      </x:c>
      <x:c r="D692" s="88" t="str">
        <x:f>IF(C692="","",I672)</x:f>
      </x:c>
      <x:c r="E692" s="88" t="str">
        <x:f>IF(C692="","",ROUND(D692*$P$21/12,2))</x:f>
      </x:c>
      <x:c r="F692" s="88" t="str">
        <x:f>IF(C692="","",MIN(D692+E692,$Q$21))</x:f>
      </x:c>
      <x:c r="G692" s="88" t="str">
        <x:f>IF(C692="","",MIN(MAX(0,D692+E692-F692),SUMIFS(SONDERZAHLUNGEN!$E$9:$E$128,SONDERZAHLUNGEN!$B$9:$B$128,C692,SONDERZAHLUNGEN!$C$9:$C$128,A692,SONDERZAHLUNGEN!$H$9:$H$128,"OK",SONDERZAHLUNGEN!$F$9:$F$128,"Ja")))</x:f>
      </x:c>
      <x:c r="H692" s="88" t="str">
        <x:f>IF(C692="","",MIN(MAX(0,D692+E692-F692-G692),MAX(0,IF(MONATSBUDGET!$C$41="",0,MONATSBUDGET!$C$41)-SUM(F680:F699)-SUM(H680:H691))))</x:f>
      </x:c>
      <x:c r="I692" s="88" t="str">
        <x:f>IF(C692="","",MAX(0,ROUND(D692+E692-F692-G692-H692,2)))</x:f>
      </x:c>
      <x:c r="J692" s="88" t="str">
        <x:f>IF(C692="","",F692+G692+H692)</x:f>
      </x:c>
      <x:c r="K692" s="88" t="str">
        <x:f>IF(C692="","",MAX(0,SUMIFS(SONDERZAHLUNGEN!$E$9:$E$128,SONDERZAHLUNGEN!$B$9:$B$128,C692,SONDERZAHLUNGEN!$C$9:$C$128,A692,SONDERZAHLUNGEN!$H$9:$H$128,"OK",SONDERZAHLUNGEN!$F$9:$F$128,"Ja")-G692))</x:f>
      </x:c>
    </x:row>
    <x:row r="693" ht="19" customHeight="1">
      <x:c r="A693" s="90" t="n">
        <x:f>MONATSBUDGET!$A$41</x:f>
        <x:v>47239</x:v>
      </x:c>
      <x:c r="B693" t="n">
        <x:f>14</x:f>
        <x:v>14</x:v>
      </x:c>
      <x:c r="C693" t="str">
        <x:f>IF($N$22="","",$N$22)</x:f>
      </x:c>
      <x:c r="D693" s="88" t="str">
        <x:f>IF(C693="","",I673)</x:f>
      </x:c>
      <x:c r="E693" s="88" t="str">
        <x:f>IF(C693="","",ROUND(D693*$P$22/12,2))</x:f>
      </x:c>
      <x:c r="F693" s="88" t="str">
        <x:f>IF(C693="","",MIN(D693+E693,$Q$22))</x:f>
      </x:c>
      <x:c r="G693" s="88" t="str">
        <x:f>IF(C693="","",MIN(MAX(0,D693+E693-F693),SUMIFS(SONDERZAHLUNGEN!$E$9:$E$128,SONDERZAHLUNGEN!$B$9:$B$128,C693,SONDERZAHLUNGEN!$C$9:$C$128,A693,SONDERZAHLUNGEN!$H$9:$H$128,"OK",SONDERZAHLUNGEN!$F$9:$F$128,"Ja")))</x:f>
      </x:c>
      <x:c r="H693" s="88" t="str">
        <x:f>IF(C693="","",MIN(MAX(0,D693+E693-F693-G693),MAX(0,IF(MONATSBUDGET!$C$41="",0,MONATSBUDGET!$C$41)-SUM(F680:F699)-SUM(H680:H692))))</x:f>
      </x:c>
      <x:c r="I693" s="88" t="str">
        <x:f>IF(C693="","",MAX(0,ROUND(D693+E693-F693-G693-H693,2)))</x:f>
      </x:c>
      <x:c r="J693" s="88" t="str">
        <x:f>IF(C693="","",F693+G693+H693)</x:f>
      </x:c>
      <x:c r="K693" s="88" t="str">
        <x:f>IF(C693="","",MAX(0,SUMIFS(SONDERZAHLUNGEN!$E$9:$E$128,SONDERZAHLUNGEN!$B$9:$B$128,C693,SONDERZAHLUNGEN!$C$9:$C$128,A693,SONDERZAHLUNGEN!$H$9:$H$128,"OK",SONDERZAHLUNGEN!$F$9:$F$128,"Ja")-G693))</x:f>
      </x:c>
    </x:row>
    <x:row r="694" ht="19" customHeight="1">
      <x:c r="A694" s="90" t="n">
        <x:f>MONATSBUDGET!$A$41</x:f>
        <x:v>47239</x:v>
      </x:c>
      <x:c r="B694" t="n">
        <x:f>15</x:f>
        <x:v>15</x:v>
      </x:c>
      <x:c r="C694" t="str">
        <x:f>IF($N$23="","",$N$23)</x:f>
      </x:c>
      <x:c r="D694" s="88" t="str">
        <x:f>IF(C694="","",I674)</x:f>
      </x:c>
      <x:c r="E694" s="88" t="str">
        <x:f>IF(C694="","",ROUND(D694*$P$23/12,2))</x:f>
      </x:c>
      <x:c r="F694" s="88" t="str">
        <x:f>IF(C694="","",MIN(D694+E694,$Q$23))</x:f>
      </x:c>
      <x:c r="G694" s="88" t="str">
        <x:f>IF(C694="","",MIN(MAX(0,D694+E694-F694),SUMIFS(SONDERZAHLUNGEN!$E$9:$E$128,SONDERZAHLUNGEN!$B$9:$B$128,C694,SONDERZAHLUNGEN!$C$9:$C$128,A694,SONDERZAHLUNGEN!$H$9:$H$128,"OK",SONDERZAHLUNGEN!$F$9:$F$128,"Ja")))</x:f>
      </x:c>
      <x:c r="H694" s="88" t="str">
        <x:f>IF(C694="","",MIN(MAX(0,D694+E694-F694-G694),MAX(0,IF(MONATSBUDGET!$C$41="",0,MONATSBUDGET!$C$41)-SUM(F680:F699)-SUM(H680:H693))))</x:f>
      </x:c>
      <x:c r="I694" s="88" t="str">
        <x:f>IF(C694="","",MAX(0,ROUND(D694+E694-F694-G694-H694,2)))</x:f>
      </x:c>
      <x:c r="J694" s="88" t="str">
        <x:f>IF(C694="","",F694+G694+H694)</x:f>
      </x:c>
      <x:c r="K694" s="88" t="str">
        <x:f>IF(C694="","",MAX(0,SUMIFS(SONDERZAHLUNGEN!$E$9:$E$128,SONDERZAHLUNGEN!$B$9:$B$128,C694,SONDERZAHLUNGEN!$C$9:$C$128,A694,SONDERZAHLUNGEN!$H$9:$H$128,"OK",SONDERZAHLUNGEN!$F$9:$F$128,"Ja")-G694))</x:f>
      </x:c>
    </x:row>
    <x:row r="695" ht="19" customHeight="1">
      <x:c r="A695" s="90" t="n">
        <x:f>MONATSBUDGET!$A$41</x:f>
        <x:v>47239</x:v>
      </x:c>
      <x:c r="B695" t="n">
        <x:f>16</x:f>
        <x:v>16</x:v>
      </x:c>
      <x:c r="C695" t="str">
        <x:f>IF($N$24="","",$N$24)</x:f>
      </x:c>
      <x:c r="D695" s="88" t="str">
        <x:f>IF(C695="","",I675)</x:f>
      </x:c>
      <x:c r="E695" s="88" t="str">
        <x:f>IF(C695="","",ROUND(D695*$P$24/12,2))</x:f>
      </x:c>
      <x:c r="F695" s="88" t="str">
        <x:f>IF(C695="","",MIN(D695+E695,$Q$24))</x:f>
      </x:c>
      <x:c r="G695" s="88" t="str">
        <x:f>IF(C695="","",MIN(MAX(0,D695+E695-F695),SUMIFS(SONDERZAHLUNGEN!$E$9:$E$128,SONDERZAHLUNGEN!$B$9:$B$128,C695,SONDERZAHLUNGEN!$C$9:$C$128,A695,SONDERZAHLUNGEN!$H$9:$H$128,"OK",SONDERZAHLUNGEN!$F$9:$F$128,"Ja")))</x:f>
      </x:c>
      <x:c r="H695" s="88" t="str">
        <x:f>IF(C695="","",MIN(MAX(0,D695+E695-F695-G695),MAX(0,IF(MONATSBUDGET!$C$41="",0,MONATSBUDGET!$C$41)-SUM(F680:F699)-SUM(H680:H694))))</x:f>
      </x:c>
      <x:c r="I695" s="88" t="str">
        <x:f>IF(C695="","",MAX(0,ROUND(D695+E695-F695-G695-H695,2)))</x:f>
      </x:c>
      <x:c r="J695" s="88" t="str">
        <x:f>IF(C695="","",F695+G695+H695)</x:f>
      </x:c>
      <x:c r="K695" s="88" t="str">
        <x:f>IF(C695="","",MAX(0,SUMIFS(SONDERZAHLUNGEN!$E$9:$E$128,SONDERZAHLUNGEN!$B$9:$B$128,C695,SONDERZAHLUNGEN!$C$9:$C$128,A695,SONDERZAHLUNGEN!$H$9:$H$128,"OK",SONDERZAHLUNGEN!$F$9:$F$128,"Ja")-G695))</x:f>
      </x:c>
    </x:row>
    <x:row r="696" ht="19" customHeight="1">
      <x:c r="A696" s="90" t="n">
        <x:f>MONATSBUDGET!$A$41</x:f>
        <x:v>47239</x:v>
      </x:c>
      <x:c r="B696" t="n">
        <x:f>17</x:f>
        <x:v>17</x:v>
      </x:c>
      <x:c r="C696" t="str">
        <x:f>IF($N$25="","",$N$25)</x:f>
      </x:c>
      <x:c r="D696" s="88" t="str">
        <x:f>IF(C696="","",I676)</x:f>
      </x:c>
      <x:c r="E696" s="88" t="str">
        <x:f>IF(C696="","",ROUND(D696*$P$25/12,2))</x:f>
      </x:c>
      <x:c r="F696" s="88" t="str">
        <x:f>IF(C696="","",MIN(D696+E696,$Q$25))</x:f>
      </x:c>
      <x:c r="G696" s="88" t="str">
        <x:f>IF(C696="","",MIN(MAX(0,D696+E696-F696),SUMIFS(SONDERZAHLUNGEN!$E$9:$E$128,SONDERZAHLUNGEN!$B$9:$B$128,C696,SONDERZAHLUNGEN!$C$9:$C$128,A696,SONDERZAHLUNGEN!$H$9:$H$128,"OK",SONDERZAHLUNGEN!$F$9:$F$128,"Ja")))</x:f>
      </x:c>
      <x:c r="H696" s="88" t="str">
        <x:f>IF(C696="","",MIN(MAX(0,D696+E696-F696-G696),MAX(0,IF(MONATSBUDGET!$C$41="",0,MONATSBUDGET!$C$41)-SUM(F680:F699)-SUM(H680:H695))))</x:f>
      </x:c>
      <x:c r="I696" s="88" t="str">
        <x:f>IF(C696="","",MAX(0,ROUND(D696+E696-F696-G696-H696,2)))</x:f>
      </x:c>
      <x:c r="J696" s="88" t="str">
        <x:f>IF(C696="","",F696+G696+H696)</x:f>
      </x:c>
      <x:c r="K696" s="88" t="str">
        <x:f>IF(C696="","",MAX(0,SUMIFS(SONDERZAHLUNGEN!$E$9:$E$128,SONDERZAHLUNGEN!$B$9:$B$128,C696,SONDERZAHLUNGEN!$C$9:$C$128,A696,SONDERZAHLUNGEN!$H$9:$H$128,"OK",SONDERZAHLUNGEN!$F$9:$F$128,"Ja")-G696))</x:f>
      </x:c>
    </x:row>
    <x:row r="697" ht="19" customHeight="1">
      <x:c r="A697" s="90" t="n">
        <x:f>MONATSBUDGET!$A$41</x:f>
        <x:v>47239</x:v>
      </x:c>
      <x:c r="B697" t="n">
        <x:f>18</x:f>
        <x:v>18</x:v>
      </x:c>
      <x:c r="C697" t="str">
        <x:f>IF($N$26="","",$N$26)</x:f>
      </x:c>
      <x:c r="D697" s="88" t="str">
        <x:f>IF(C697="","",I677)</x:f>
      </x:c>
      <x:c r="E697" s="88" t="str">
        <x:f>IF(C697="","",ROUND(D697*$P$26/12,2))</x:f>
      </x:c>
      <x:c r="F697" s="88" t="str">
        <x:f>IF(C697="","",MIN(D697+E697,$Q$26))</x:f>
      </x:c>
      <x:c r="G697" s="88" t="str">
        <x:f>IF(C697="","",MIN(MAX(0,D697+E697-F697),SUMIFS(SONDERZAHLUNGEN!$E$9:$E$128,SONDERZAHLUNGEN!$B$9:$B$128,C697,SONDERZAHLUNGEN!$C$9:$C$128,A697,SONDERZAHLUNGEN!$H$9:$H$128,"OK",SONDERZAHLUNGEN!$F$9:$F$128,"Ja")))</x:f>
      </x:c>
      <x:c r="H697" s="88" t="str">
        <x:f>IF(C697="","",MIN(MAX(0,D697+E697-F697-G697),MAX(0,IF(MONATSBUDGET!$C$41="",0,MONATSBUDGET!$C$41)-SUM(F680:F699)-SUM(H680:H696))))</x:f>
      </x:c>
      <x:c r="I697" s="88" t="str">
        <x:f>IF(C697="","",MAX(0,ROUND(D697+E697-F697-G697-H697,2)))</x:f>
      </x:c>
      <x:c r="J697" s="88" t="str">
        <x:f>IF(C697="","",F697+G697+H697)</x:f>
      </x:c>
      <x:c r="K697" s="88" t="str">
        <x:f>IF(C697="","",MAX(0,SUMIFS(SONDERZAHLUNGEN!$E$9:$E$128,SONDERZAHLUNGEN!$B$9:$B$128,C697,SONDERZAHLUNGEN!$C$9:$C$128,A697,SONDERZAHLUNGEN!$H$9:$H$128,"OK",SONDERZAHLUNGEN!$F$9:$F$128,"Ja")-G697))</x:f>
      </x:c>
    </x:row>
    <x:row r="698" ht="19" customHeight="1">
      <x:c r="A698" s="90" t="n">
        <x:f>MONATSBUDGET!$A$41</x:f>
        <x:v>47239</x:v>
      </x:c>
      <x:c r="B698" t="n">
        <x:f>19</x:f>
        <x:v>19</x:v>
      </x:c>
      <x:c r="C698" t="str">
        <x:f>IF($N$27="","",$N$27)</x:f>
      </x:c>
      <x:c r="D698" s="88" t="str">
        <x:f>IF(C698="","",I678)</x:f>
      </x:c>
      <x:c r="E698" s="88" t="str">
        <x:f>IF(C698="","",ROUND(D698*$P$27/12,2))</x:f>
      </x:c>
      <x:c r="F698" s="88" t="str">
        <x:f>IF(C698="","",MIN(D698+E698,$Q$27))</x:f>
      </x:c>
      <x:c r="G698" s="88" t="str">
        <x:f>IF(C698="","",MIN(MAX(0,D698+E698-F698),SUMIFS(SONDERZAHLUNGEN!$E$9:$E$128,SONDERZAHLUNGEN!$B$9:$B$128,C698,SONDERZAHLUNGEN!$C$9:$C$128,A698,SONDERZAHLUNGEN!$H$9:$H$128,"OK",SONDERZAHLUNGEN!$F$9:$F$128,"Ja")))</x:f>
      </x:c>
      <x:c r="H698" s="88" t="str">
        <x:f>IF(C698="","",MIN(MAX(0,D698+E698-F698-G698),MAX(0,IF(MONATSBUDGET!$C$41="",0,MONATSBUDGET!$C$41)-SUM(F680:F699)-SUM(H680:H697))))</x:f>
      </x:c>
      <x:c r="I698" s="88" t="str">
        <x:f>IF(C698="","",MAX(0,ROUND(D698+E698-F698-G698-H698,2)))</x:f>
      </x:c>
      <x:c r="J698" s="88" t="str">
        <x:f>IF(C698="","",F698+G698+H698)</x:f>
      </x:c>
      <x:c r="K698" s="88" t="str">
        <x:f>IF(C698="","",MAX(0,SUMIFS(SONDERZAHLUNGEN!$E$9:$E$128,SONDERZAHLUNGEN!$B$9:$B$128,C698,SONDERZAHLUNGEN!$C$9:$C$128,A698,SONDERZAHLUNGEN!$H$9:$H$128,"OK",SONDERZAHLUNGEN!$F$9:$F$128,"Ja")-G698))</x:f>
      </x:c>
    </x:row>
    <x:row r="699" ht="19" customHeight="1">
      <x:c r="A699" s="90" t="n">
        <x:f>MONATSBUDGET!$A$41</x:f>
        <x:v>47239</x:v>
      </x:c>
      <x:c r="B699" t="n">
        <x:f>20</x:f>
        <x:v>20</x:v>
      </x:c>
      <x:c r="C699" t="str">
        <x:f>IF($N$28="","",$N$28)</x:f>
      </x:c>
      <x:c r="D699" s="88" t="str">
        <x:f>IF(C699="","",I679)</x:f>
      </x:c>
      <x:c r="E699" s="88" t="str">
        <x:f>IF(C699="","",ROUND(D699*$P$28/12,2))</x:f>
      </x:c>
      <x:c r="F699" s="88" t="str">
        <x:f>IF(C699="","",MIN(D699+E699,$Q$28))</x:f>
      </x:c>
      <x:c r="G699" s="88" t="str">
        <x:f>IF(C699="","",MIN(MAX(0,D699+E699-F699),SUMIFS(SONDERZAHLUNGEN!$E$9:$E$128,SONDERZAHLUNGEN!$B$9:$B$128,C699,SONDERZAHLUNGEN!$C$9:$C$128,A699,SONDERZAHLUNGEN!$H$9:$H$128,"OK",SONDERZAHLUNGEN!$F$9:$F$128,"Ja")))</x:f>
      </x:c>
      <x:c r="H699" s="88" t="str">
        <x:f>IF(C699="","",MIN(MAX(0,D699+E699-F699-G699),MAX(0,IF(MONATSBUDGET!$C$41="",0,MONATSBUDGET!$C$41)-SUM(F680:F699)-SUM(H680:H698))))</x:f>
      </x:c>
      <x:c r="I699" s="88" t="str">
        <x:f>IF(C699="","",MAX(0,ROUND(D699+E699-F699-G699-H699,2)))</x:f>
      </x:c>
      <x:c r="J699" s="88" t="str">
        <x:f>IF(C699="","",F699+G699+H699)</x:f>
      </x:c>
      <x:c r="K699" s="88" t="str">
        <x:f>IF(C699="","",MAX(0,SUMIFS(SONDERZAHLUNGEN!$E$9:$E$128,SONDERZAHLUNGEN!$B$9:$B$128,C699,SONDERZAHLUNGEN!$C$9:$C$128,A699,SONDERZAHLUNGEN!$H$9:$H$128,"OK",SONDERZAHLUNGEN!$F$9:$F$128,"Ja")-G699))</x:f>
      </x:c>
    </x:row>
    <x:row r="700" ht="19" customHeight="1">
      <x:c r="A700" s="90" t="n">
        <x:f>MONATSBUDGET!$A$42</x:f>
        <x:v>47270</x:v>
      </x:c>
      <x:c r="B700" t="n">
        <x:f>1</x:f>
        <x:v>1</x:v>
      </x:c>
      <x:c r="C700" t="str">
        <x:f>IF($N$9="","",$N$9)</x:f>
      </x:c>
      <x:c r="D700" s="88" t="str">
        <x:f>IF(C700="","",I680)</x:f>
      </x:c>
      <x:c r="E700" s="88" t="str">
        <x:f>IF(C700="","",ROUND(D700*$P$9/12,2))</x:f>
      </x:c>
      <x:c r="F700" s="88" t="str">
        <x:f>IF(C700="","",MIN(D700+E700,$Q$9))</x:f>
      </x:c>
      <x:c r="G700" s="88" t="str">
        <x:f>IF(C700="","",MIN(MAX(0,D700+E700-F700),SUMIFS(SONDERZAHLUNGEN!$E$9:$E$128,SONDERZAHLUNGEN!$B$9:$B$128,C700,SONDERZAHLUNGEN!$C$9:$C$128,A700,SONDERZAHLUNGEN!$H$9:$H$128,"OK",SONDERZAHLUNGEN!$F$9:$F$128,"Ja")))</x:f>
      </x:c>
      <x:c r="H700" s="88" t="str">
        <x:f>IF(C700="","",MIN(MAX(0,D700+E700-F700-G700),MAX(0,IF(MONATSBUDGET!$C$42="",0,MONATSBUDGET!$C$42)-SUM(F700:F719)-0)))</x:f>
      </x:c>
      <x:c r="I700" s="88" t="str">
        <x:f>IF(C700="","",MAX(0,ROUND(D700+E700-F700-G700-H700,2)))</x:f>
      </x:c>
      <x:c r="J700" s="88" t="str">
        <x:f>IF(C700="","",F700+G700+H700)</x:f>
      </x:c>
      <x:c r="K700" s="88" t="str">
        <x:f>IF(C700="","",MAX(0,SUMIFS(SONDERZAHLUNGEN!$E$9:$E$128,SONDERZAHLUNGEN!$B$9:$B$128,C700,SONDERZAHLUNGEN!$C$9:$C$128,A700,SONDERZAHLUNGEN!$H$9:$H$128,"OK",SONDERZAHLUNGEN!$F$9:$F$128,"Ja")-G700))</x:f>
      </x:c>
    </x:row>
    <x:row r="701" ht="19" customHeight="1">
      <x:c r="A701" s="90" t="n">
        <x:f>MONATSBUDGET!$A$42</x:f>
        <x:v>47270</x:v>
      </x:c>
      <x:c r="B701" t="n">
        <x:f>2</x:f>
        <x:v>2</x:v>
      </x:c>
      <x:c r="C701" t="str">
        <x:f>IF($N$10="","",$N$10)</x:f>
      </x:c>
      <x:c r="D701" s="88" t="str">
        <x:f>IF(C701="","",I681)</x:f>
      </x:c>
      <x:c r="E701" s="88" t="str">
        <x:f>IF(C701="","",ROUND(D701*$P$10/12,2))</x:f>
      </x:c>
      <x:c r="F701" s="88" t="str">
        <x:f>IF(C701="","",MIN(D701+E701,$Q$10))</x:f>
      </x:c>
      <x:c r="G701" s="88" t="str">
        <x:f>IF(C701="","",MIN(MAX(0,D701+E701-F701),SUMIFS(SONDERZAHLUNGEN!$E$9:$E$128,SONDERZAHLUNGEN!$B$9:$B$128,C701,SONDERZAHLUNGEN!$C$9:$C$128,A701,SONDERZAHLUNGEN!$H$9:$H$128,"OK",SONDERZAHLUNGEN!$F$9:$F$128,"Ja")))</x:f>
      </x:c>
      <x:c r="H701" s="88" t="str">
        <x:f>IF(C701="","",MIN(MAX(0,D701+E701-F701-G701),MAX(0,IF(MONATSBUDGET!$C$42="",0,MONATSBUDGET!$C$42)-SUM(F700:F719)-SUM(H700:H700))))</x:f>
      </x:c>
      <x:c r="I701" s="88" t="str">
        <x:f>IF(C701="","",MAX(0,ROUND(D701+E701-F701-G701-H701,2)))</x:f>
      </x:c>
      <x:c r="J701" s="88" t="str">
        <x:f>IF(C701="","",F701+G701+H701)</x:f>
      </x:c>
      <x:c r="K701" s="88" t="str">
        <x:f>IF(C701="","",MAX(0,SUMIFS(SONDERZAHLUNGEN!$E$9:$E$128,SONDERZAHLUNGEN!$B$9:$B$128,C701,SONDERZAHLUNGEN!$C$9:$C$128,A701,SONDERZAHLUNGEN!$H$9:$H$128,"OK",SONDERZAHLUNGEN!$F$9:$F$128,"Ja")-G701))</x:f>
      </x:c>
    </x:row>
    <x:row r="702" ht="19" customHeight="1">
      <x:c r="A702" s="90" t="n">
        <x:f>MONATSBUDGET!$A$42</x:f>
        <x:v>47270</x:v>
      </x:c>
      <x:c r="B702" t="n">
        <x:f>3</x:f>
        <x:v>3</x:v>
      </x:c>
      <x:c r="C702" t="str">
        <x:f>IF($N$11="","",$N$11)</x:f>
      </x:c>
      <x:c r="D702" s="88" t="str">
        <x:f>IF(C702="","",I682)</x:f>
      </x:c>
      <x:c r="E702" s="88" t="str">
        <x:f>IF(C702="","",ROUND(D702*$P$11/12,2))</x:f>
      </x:c>
      <x:c r="F702" s="88" t="str">
        <x:f>IF(C702="","",MIN(D702+E702,$Q$11))</x:f>
      </x:c>
      <x:c r="G702" s="88" t="str">
        <x:f>IF(C702="","",MIN(MAX(0,D702+E702-F702),SUMIFS(SONDERZAHLUNGEN!$E$9:$E$128,SONDERZAHLUNGEN!$B$9:$B$128,C702,SONDERZAHLUNGEN!$C$9:$C$128,A702,SONDERZAHLUNGEN!$H$9:$H$128,"OK",SONDERZAHLUNGEN!$F$9:$F$128,"Ja")))</x:f>
      </x:c>
      <x:c r="H702" s="88" t="str">
        <x:f>IF(C702="","",MIN(MAX(0,D702+E702-F702-G702),MAX(0,IF(MONATSBUDGET!$C$42="",0,MONATSBUDGET!$C$42)-SUM(F700:F719)-SUM(H700:H701))))</x:f>
      </x:c>
      <x:c r="I702" s="88" t="str">
        <x:f>IF(C702="","",MAX(0,ROUND(D702+E702-F702-G702-H702,2)))</x:f>
      </x:c>
      <x:c r="J702" s="88" t="str">
        <x:f>IF(C702="","",F702+G702+H702)</x:f>
      </x:c>
      <x:c r="K702" s="88" t="str">
        <x:f>IF(C702="","",MAX(0,SUMIFS(SONDERZAHLUNGEN!$E$9:$E$128,SONDERZAHLUNGEN!$B$9:$B$128,C702,SONDERZAHLUNGEN!$C$9:$C$128,A702,SONDERZAHLUNGEN!$H$9:$H$128,"OK",SONDERZAHLUNGEN!$F$9:$F$128,"Ja")-G702))</x:f>
      </x:c>
    </x:row>
    <x:row r="703" ht="19" customHeight="1">
      <x:c r="A703" s="90" t="n">
        <x:f>MONATSBUDGET!$A$42</x:f>
        <x:v>47270</x:v>
      </x:c>
      <x:c r="B703" t="n">
        <x:f>4</x:f>
        <x:v>4</x:v>
      </x:c>
      <x:c r="C703" t="str">
        <x:f>IF($N$12="","",$N$12)</x:f>
      </x:c>
      <x:c r="D703" s="88" t="str">
        <x:f>IF(C703="","",I683)</x:f>
      </x:c>
      <x:c r="E703" s="88" t="str">
        <x:f>IF(C703="","",ROUND(D703*$P$12/12,2))</x:f>
      </x:c>
      <x:c r="F703" s="88" t="str">
        <x:f>IF(C703="","",MIN(D703+E703,$Q$12))</x:f>
      </x:c>
      <x:c r="G703" s="88" t="str">
        <x:f>IF(C703="","",MIN(MAX(0,D703+E703-F703),SUMIFS(SONDERZAHLUNGEN!$E$9:$E$128,SONDERZAHLUNGEN!$B$9:$B$128,C703,SONDERZAHLUNGEN!$C$9:$C$128,A703,SONDERZAHLUNGEN!$H$9:$H$128,"OK",SONDERZAHLUNGEN!$F$9:$F$128,"Ja")))</x:f>
      </x:c>
      <x:c r="H703" s="88" t="str">
        <x:f>IF(C703="","",MIN(MAX(0,D703+E703-F703-G703),MAX(0,IF(MONATSBUDGET!$C$42="",0,MONATSBUDGET!$C$42)-SUM(F700:F719)-SUM(H700:H702))))</x:f>
      </x:c>
      <x:c r="I703" s="88" t="str">
        <x:f>IF(C703="","",MAX(0,ROUND(D703+E703-F703-G703-H703,2)))</x:f>
      </x:c>
      <x:c r="J703" s="88" t="str">
        <x:f>IF(C703="","",F703+G703+H703)</x:f>
      </x:c>
      <x:c r="K703" s="88" t="str">
        <x:f>IF(C703="","",MAX(0,SUMIFS(SONDERZAHLUNGEN!$E$9:$E$128,SONDERZAHLUNGEN!$B$9:$B$128,C703,SONDERZAHLUNGEN!$C$9:$C$128,A703,SONDERZAHLUNGEN!$H$9:$H$128,"OK",SONDERZAHLUNGEN!$F$9:$F$128,"Ja")-G703))</x:f>
      </x:c>
    </x:row>
    <x:row r="704" ht="19" customHeight="1">
      <x:c r="A704" s="90" t="n">
        <x:f>MONATSBUDGET!$A$42</x:f>
        <x:v>47270</x:v>
      </x:c>
      <x:c r="B704" t="n">
        <x:f>5</x:f>
        <x:v>5</x:v>
      </x:c>
      <x:c r="C704" t="str">
        <x:f>IF($N$13="","",$N$13)</x:f>
      </x:c>
      <x:c r="D704" s="88" t="str">
        <x:f>IF(C704="","",I684)</x:f>
      </x:c>
      <x:c r="E704" s="88" t="str">
        <x:f>IF(C704="","",ROUND(D704*$P$13/12,2))</x:f>
      </x:c>
      <x:c r="F704" s="88" t="str">
        <x:f>IF(C704="","",MIN(D704+E704,$Q$13))</x:f>
      </x:c>
      <x:c r="G704" s="88" t="str">
        <x:f>IF(C704="","",MIN(MAX(0,D704+E704-F704),SUMIFS(SONDERZAHLUNGEN!$E$9:$E$128,SONDERZAHLUNGEN!$B$9:$B$128,C704,SONDERZAHLUNGEN!$C$9:$C$128,A704,SONDERZAHLUNGEN!$H$9:$H$128,"OK",SONDERZAHLUNGEN!$F$9:$F$128,"Ja")))</x:f>
      </x:c>
      <x:c r="H704" s="88" t="str">
        <x:f>IF(C704="","",MIN(MAX(0,D704+E704-F704-G704),MAX(0,IF(MONATSBUDGET!$C$42="",0,MONATSBUDGET!$C$42)-SUM(F700:F719)-SUM(H700:H703))))</x:f>
      </x:c>
      <x:c r="I704" s="88" t="str">
        <x:f>IF(C704="","",MAX(0,ROUND(D704+E704-F704-G704-H704,2)))</x:f>
      </x:c>
      <x:c r="J704" s="88" t="str">
        <x:f>IF(C704="","",F704+G704+H704)</x:f>
      </x:c>
      <x:c r="K704" s="88" t="str">
        <x:f>IF(C704="","",MAX(0,SUMIFS(SONDERZAHLUNGEN!$E$9:$E$128,SONDERZAHLUNGEN!$B$9:$B$128,C704,SONDERZAHLUNGEN!$C$9:$C$128,A704,SONDERZAHLUNGEN!$H$9:$H$128,"OK",SONDERZAHLUNGEN!$F$9:$F$128,"Ja")-G704))</x:f>
      </x:c>
    </x:row>
    <x:row r="705" ht="19" customHeight="1">
      <x:c r="A705" s="90" t="n">
        <x:f>MONATSBUDGET!$A$42</x:f>
        <x:v>47270</x:v>
      </x:c>
      <x:c r="B705" t="n">
        <x:f>6</x:f>
        <x:v>6</x:v>
      </x:c>
      <x:c r="C705" t="str">
        <x:f>IF($N$14="","",$N$14)</x:f>
      </x:c>
      <x:c r="D705" s="88" t="str">
        <x:f>IF(C705="","",I685)</x:f>
      </x:c>
      <x:c r="E705" s="88" t="str">
        <x:f>IF(C705="","",ROUND(D705*$P$14/12,2))</x:f>
      </x:c>
      <x:c r="F705" s="88" t="str">
        <x:f>IF(C705="","",MIN(D705+E705,$Q$14))</x:f>
      </x:c>
      <x:c r="G705" s="88" t="str">
        <x:f>IF(C705="","",MIN(MAX(0,D705+E705-F705),SUMIFS(SONDERZAHLUNGEN!$E$9:$E$128,SONDERZAHLUNGEN!$B$9:$B$128,C705,SONDERZAHLUNGEN!$C$9:$C$128,A705,SONDERZAHLUNGEN!$H$9:$H$128,"OK",SONDERZAHLUNGEN!$F$9:$F$128,"Ja")))</x:f>
      </x:c>
      <x:c r="H705" s="88" t="str">
        <x:f>IF(C705="","",MIN(MAX(0,D705+E705-F705-G705),MAX(0,IF(MONATSBUDGET!$C$42="",0,MONATSBUDGET!$C$42)-SUM(F700:F719)-SUM(H700:H704))))</x:f>
      </x:c>
      <x:c r="I705" s="88" t="str">
        <x:f>IF(C705="","",MAX(0,ROUND(D705+E705-F705-G705-H705,2)))</x:f>
      </x:c>
      <x:c r="J705" s="88" t="str">
        <x:f>IF(C705="","",F705+G705+H705)</x:f>
      </x:c>
      <x:c r="K705" s="88" t="str">
        <x:f>IF(C705="","",MAX(0,SUMIFS(SONDERZAHLUNGEN!$E$9:$E$128,SONDERZAHLUNGEN!$B$9:$B$128,C705,SONDERZAHLUNGEN!$C$9:$C$128,A705,SONDERZAHLUNGEN!$H$9:$H$128,"OK",SONDERZAHLUNGEN!$F$9:$F$128,"Ja")-G705))</x:f>
      </x:c>
    </x:row>
    <x:row r="706" ht="19" customHeight="1">
      <x:c r="A706" s="90" t="n">
        <x:f>MONATSBUDGET!$A$42</x:f>
        <x:v>47270</x:v>
      </x:c>
      <x:c r="B706" t="n">
        <x:f>7</x:f>
        <x:v>7</x:v>
      </x:c>
      <x:c r="C706" t="str">
        <x:f>IF($N$15="","",$N$15)</x:f>
      </x:c>
      <x:c r="D706" s="88" t="str">
        <x:f>IF(C706="","",I686)</x:f>
      </x:c>
      <x:c r="E706" s="88" t="str">
        <x:f>IF(C706="","",ROUND(D706*$P$15/12,2))</x:f>
      </x:c>
      <x:c r="F706" s="88" t="str">
        <x:f>IF(C706="","",MIN(D706+E706,$Q$15))</x:f>
      </x:c>
      <x:c r="G706" s="88" t="str">
        <x:f>IF(C706="","",MIN(MAX(0,D706+E706-F706),SUMIFS(SONDERZAHLUNGEN!$E$9:$E$128,SONDERZAHLUNGEN!$B$9:$B$128,C706,SONDERZAHLUNGEN!$C$9:$C$128,A706,SONDERZAHLUNGEN!$H$9:$H$128,"OK",SONDERZAHLUNGEN!$F$9:$F$128,"Ja")))</x:f>
      </x:c>
      <x:c r="H706" s="88" t="str">
        <x:f>IF(C706="","",MIN(MAX(0,D706+E706-F706-G706),MAX(0,IF(MONATSBUDGET!$C$42="",0,MONATSBUDGET!$C$42)-SUM(F700:F719)-SUM(H700:H705))))</x:f>
      </x:c>
      <x:c r="I706" s="88" t="str">
        <x:f>IF(C706="","",MAX(0,ROUND(D706+E706-F706-G706-H706,2)))</x:f>
      </x:c>
      <x:c r="J706" s="88" t="str">
        <x:f>IF(C706="","",F706+G706+H706)</x:f>
      </x:c>
      <x:c r="K706" s="88" t="str">
        <x:f>IF(C706="","",MAX(0,SUMIFS(SONDERZAHLUNGEN!$E$9:$E$128,SONDERZAHLUNGEN!$B$9:$B$128,C706,SONDERZAHLUNGEN!$C$9:$C$128,A706,SONDERZAHLUNGEN!$H$9:$H$128,"OK",SONDERZAHLUNGEN!$F$9:$F$128,"Ja")-G706))</x:f>
      </x:c>
    </x:row>
    <x:row r="707" ht="19" customHeight="1">
      <x:c r="A707" s="90" t="n">
        <x:f>MONATSBUDGET!$A$42</x:f>
        <x:v>47270</x:v>
      </x:c>
      <x:c r="B707" t="n">
        <x:f>8</x:f>
        <x:v>8</x:v>
      </x:c>
      <x:c r="C707" t="str">
        <x:f>IF($N$16="","",$N$16)</x:f>
      </x:c>
      <x:c r="D707" s="88" t="str">
        <x:f>IF(C707="","",I687)</x:f>
      </x:c>
      <x:c r="E707" s="88" t="str">
        <x:f>IF(C707="","",ROUND(D707*$P$16/12,2))</x:f>
      </x:c>
      <x:c r="F707" s="88" t="str">
        <x:f>IF(C707="","",MIN(D707+E707,$Q$16))</x:f>
      </x:c>
      <x:c r="G707" s="88" t="str">
        <x:f>IF(C707="","",MIN(MAX(0,D707+E707-F707),SUMIFS(SONDERZAHLUNGEN!$E$9:$E$128,SONDERZAHLUNGEN!$B$9:$B$128,C707,SONDERZAHLUNGEN!$C$9:$C$128,A707,SONDERZAHLUNGEN!$H$9:$H$128,"OK",SONDERZAHLUNGEN!$F$9:$F$128,"Ja")))</x:f>
      </x:c>
      <x:c r="H707" s="88" t="str">
        <x:f>IF(C707="","",MIN(MAX(0,D707+E707-F707-G707),MAX(0,IF(MONATSBUDGET!$C$42="",0,MONATSBUDGET!$C$42)-SUM(F700:F719)-SUM(H700:H706))))</x:f>
      </x:c>
      <x:c r="I707" s="88" t="str">
        <x:f>IF(C707="","",MAX(0,ROUND(D707+E707-F707-G707-H707,2)))</x:f>
      </x:c>
      <x:c r="J707" s="88" t="str">
        <x:f>IF(C707="","",F707+G707+H707)</x:f>
      </x:c>
      <x:c r="K707" s="88" t="str">
        <x:f>IF(C707="","",MAX(0,SUMIFS(SONDERZAHLUNGEN!$E$9:$E$128,SONDERZAHLUNGEN!$B$9:$B$128,C707,SONDERZAHLUNGEN!$C$9:$C$128,A707,SONDERZAHLUNGEN!$H$9:$H$128,"OK",SONDERZAHLUNGEN!$F$9:$F$128,"Ja")-G707))</x:f>
      </x:c>
    </x:row>
    <x:row r="708" ht="19" customHeight="1">
      <x:c r="A708" s="90" t="n">
        <x:f>MONATSBUDGET!$A$42</x:f>
        <x:v>47270</x:v>
      </x:c>
      <x:c r="B708" t="n">
        <x:f>9</x:f>
        <x:v>9</x:v>
      </x:c>
      <x:c r="C708" t="str">
        <x:f>IF($N$17="","",$N$17)</x:f>
      </x:c>
      <x:c r="D708" s="88" t="str">
        <x:f>IF(C708="","",I688)</x:f>
      </x:c>
      <x:c r="E708" s="88" t="str">
        <x:f>IF(C708="","",ROUND(D708*$P$17/12,2))</x:f>
      </x:c>
      <x:c r="F708" s="88" t="str">
        <x:f>IF(C708="","",MIN(D708+E708,$Q$17))</x:f>
      </x:c>
      <x:c r="G708" s="88" t="str">
        <x:f>IF(C708="","",MIN(MAX(0,D708+E708-F708),SUMIFS(SONDERZAHLUNGEN!$E$9:$E$128,SONDERZAHLUNGEN!$B$9:$B$128,C708,SONDERZAHLUNGEN!$C$9:$C$128,A708,SONDERZAHLUNGEN!$H$9:$H$128,"OK",SONDERZAHLUNGEN!$F$9:$F$128,"Ja")))</x:f>
      </x:c>
      <x:c r="H708" s="88" t="str">
        <x:f>IF(C708="","",MIN(MAX(0,D708+E708-F708-G708),MAX(0,IF(MONATSBUDGET!$C$42="",0,MONATSBUDGET!$C$42)-SUM(F700:F719)-SUM(H700:H707))))</x:f>
      </x:c>
      <x:c r="I708" s="88" t="str">
        <x:f>IF(C708="","",MAX(0,ROUND(D708+E708-F708-G708-H708,2)))</x:f>
      </x:c>
      <x:c r="J708" s="88" t="str">
        <x:f>IF(C708="","",F708+G708+H708)</x:f>
      </x:c>
      <x:c r="K708" s="88" t="str">
        <x:f>IF(C708="","",MAX(0,SUMIFS(SONDERZAHLUNGEN!$E$9:$E$128,SONDERZAHLUNGEN!$B$9:$B$128,C708,SONDERZAHLUNGEN!$C$9:$C$128,A708,SONDERZAHLUNGEN!$H$9:$H$128,"OK",SONDERZAHLUNGEN!$F$9:$F$128,"Ja")-G708))</x:f>
      </x:c>
    </x:row>
    <x:row r="709" ht="19" customHeight="1">
      <x:c r="A709" s="90" t="n">
        <x:f>MONATSBUDGET!$A$42</x:f>
        <x:v>47270</x:v>
      </x:c>
      <x:c r="B709" t="n">
        <x:f>10</x:f>
        <x:v>10</x:v>
      </x:c>
      <x:c r="C709" t="str">
        <x:f>IF($N$18="","",$N$18)</x:f>
      </x:c>
      <x:c r="D709" s="88" t="str">
        <x:f>IF(C709="","",I689)</x:f>
      </x:c>
      <x:c r="E709" s="88" t="str">
        <x:f>IF(C709="","",ROUND(D709*$P$18/12,2))</x:f>
      </x:c>
      <x:c r="F709" s="88" t="str">
        <x:f>IF(C709="","",MIN(D709+E709,$Q$18))</x:f>
      </x:c>
      <x:c r="G709" s="88" t="str">
        <x:f>IF(C709="","",MIN(MAX(0,D709+E709-F709),SUMIFS(SONDERZAHLUNGEN!$E$9:$E$128,SONDERZAHLUNGEN!$B$9:$B$128,C709,SONDERZAHLUNGEN!$C$9:$C$128,A709,SONDERZAHLUNGEN!$H$9:$H$128,"OK",SONDERZAHLUNGEN!$F$9:$F$128,"Ja")))</x:f>
      </x:c>
      <x:c r="H709" s="88" t="str">
        <x:f>IF(C709="","",MIN(MAX(0,D709+E709-F709-G709),MAX(0,IF(MONATSBUDGET!$C$42="",0,MONATSBUDGET!$C$42)-SUM(F700:F719)-SUM(H700:H708))))</x:f>
      </x:c>
      <x:c r="I709" s="88" t="str">
        <x:f>IF(C709="","",MAX(0,ROUND(D709+E709-F709-G709-H709,2)))</x:f>
      </x:c>
      <x:c r="J709" s="88" t="str">
        <x:f>IF(C709="","",F709+G709+H709)</x:f>
      </x:c>
      <x:c r="K709" s="88" t="str">
        <x:f>IF(C709="","",MAX(0,SUMIFS(SONDERZAHLUNGEN!$E$9:$E$128,SONDERZAHLUNGEN!$B$9:$B$128,C709,SONDERZAHLUNGEN!$C$9:$C$128,A709,SONDERZAHLUNGEN!$H$9:$H$128,"OK",SONDERZAHLUNGEN!$F$9:$F$128,"Ja")-G709))</x:f>
      </x:c>
    </x:row>
    <x:row r="710" ht="19" customHeight="1">
      <x:c r="A710" s="90" t="n">
        <x:f>MONATSBUDGET!$A$42</x:f>
        <x:v>47270</x:v>
      </x:c>
      <x:c r="B710" t="n">
        <x:f>11</x:f>
        <x:v>11</x:v>
      </x:c>
      <x:c r="C710" t="str">
        <x:f>IF($N$19="","",$N$19)</x:f>
      </x:c>
      <x:c r="D710" s="88" t="str">
        <x:f>IF(C710="","",I690)</x:f>
      </x:c>
      <x:c r="E710" s="88" t="str">
        <x:f>IF(C710="","",ROUND(D710*$P$19/12,2))</x:f>
      </x:c>
      <x:c r="F710" s="88" t="str">
        <x:f>IF(C710="","",MIN(D710+E710,$Q$19))</x:f>
      </x:c>
      <x:c r="G710" s="88" t="str">
        <x:f>IF(C710="","",MIN(MAX(0,D710+E710-F710),SUMIFS(SONDERZAHLUNGEN!$E$9:$E$128,SONDERZAHLUNGEN!$B$9:$B$128,C710,SONDERZAHLUNGEN!$C$9:$C$128,A710,SONDERZAHLUNGEN!$H$9:$H$128,"OK",SONDERZAHLUNGEN!$F$9:$F$128,"Ja")))</x:f>
      </x:c>
      <x:c r="H710" s="88" t="str">
        <x:f>IF(C710="","",MIN(MAX(0,D710+E710-F710-G710),MAX(0,IF(MONATSBUDGET!$C$42="",0,MONATSBUDGET!$C$42)-SUM(F700:F719)-SUM(H700:H709))))</x:f>
      </x:c>
      <x:c r="I710" s="88" t="str">
        <x:f>IF(C710="","",MAX(0,ROUND(D710+E710-F710-G710-H710,2)))</x:f>
      </x:c>
      <x:c r="J710" s="88" t="str">
        <x:f>IF(C710="","",F710+G710+H710)</x:f>
      </x:c>
      <x:c r="K710" s="88" t="str">
        <x:f>IF(C710="","",MAX(0,SUMIFS(SONDERZAHLUNGEN!$E$9:$E$128,SONDERZAHLUNGEN!$B$9:$B$128,C710,SONDERZAHLUNGEN!$C$9:$C$128,A710,SONDERZAHLUNGEN!$H$9:$H$128,"OK",SONDERZAHLUNGEN!$F$9:$F$128,"Ja")-G710))</x:f>
      </x:c>
    </x:row>
    <x:row r="711" ht="19" customHeight="1">
      <x:c r="A711" s="90" t="n">
        <x:f>MONATSBUDGET!$A$42</x:f>
        <x:v>47270</x:v>
      </x:c>
      <x:c r="B711" t="n">
        <x:f>12</x:f>
        <x:v>12</x:v>
      </x:c>
      <x:c r="C711" t="str">
        <x:f>IF($N$20="","",$N$20)</x:f>
      </x:c>
      <x:c r="D711" s="88" t="str">
        <x:f>IF(C711="","",I691)</x:f>
      </x:c>
      <x:c r="E711" s="88" t="str">
        <x:f>IF(C711="","",ROUND(D711*$P$20/12,2))</x:f>
      </x:c>
      <x:c r="F711" s="88" t="str">
        <x:f>IF(C711="","",MIN(D711+E711,$Q$20))</x:f>
      </x:c>
      <x:c r="G711" s="88" t="str">
        <x:f>IF(C711="","",MIN(MAX(0,D711+E711-F711),SUMIFS(SONDERZAHLUNGEN!$E$9:$E$128,SONDERZAHLUNGEN!$B$9:$B$128,C711,SONDERZAHLUNGEN!$C$9:$C$128,A711,SONDERZAHLUNGEN!$H$9:$H$128,"OK",SONDERZAHLUNGEN!$F$9:$F$128,"Ja")))</x:f>
      </x:c>
      <x:c r="H711" s="88" t="str">
        <x:f>IF(C711="","",MIN(MAX(0,D711+E711-F711-G711),MAX(0,IF(MONATSBUDGET!$C$42="",0,MONATSBUDGET!$C$42)-SUM(F700:F719)-SUM(H700:H710))))</x:f>
      </x:c>
      <x:c r="I711" s="88" t="str">
        <x:f>IF(C711="","",MAX(0,ROUND(D711+E711-F711-G711-H711,2)))</x:f>
      </x:c>
      <x:c r="J711" s="88" t="str">
        <x:f>IF(C711="","",F711+G711+H711)</x:f>
      </x:c>
      <x:c r="K711" s="88" t="str">
        <x:f>IF(C711="","",MAX(0,SUMIFS(SONDERZAHLUNGEN!$E$9:$E$128,SONDERZAHLUNGEN!$B$9:$B$128,C711,SONDERZAHLUNGEN!$C$9:$C$128,A711,SONDERZAHLUNGEN!$H$9:$H$128,"OK",SONDERZAHLUNGEN!$F$9:$F$128,"Ja")-G711))</x:f>
      </x:c>
    </x:row>
    <x:row r="712" ht="19" customHeight="1">
      <x:c r="A712" s="90" t="n">
        <x:f>MONATSBUDGET!$A$42</x:f>
        <x:v>47270</x:v>
      </x:c>
      <x:c r="B712" t="n">
        <x:f>13</x:f>
        <x:v>13</x:v>
      </x:c>
      <x:c r="C712" t="str">
        <x:f>IF($N$21="","",$N$21)</x:f>
      </x:c>
      <x:c r="D712" s="88" t="str">
        <x:f>IF(C712="","",I692)</x:f>
      </x:c>
      <x:c r="E712" s="88" t="str">
        <x:f>IF(C712="","",ROUND(D712*$P$21/12,2))</x:f>
      </x:c>
      <x:c r="F712" s="88" t="str">
        <x:f>IF(C712="","",MIN(D712+E712,$Q$21))</x:f>
      </x:c>
      <x:c r="G712" s="88" t="str">
        <x:f>IF(C712="","",MIN(MAX(0,D712+E712-F712),SUMIFS(SONDERZAHLUNGEN!$E$9:$E$128,SONDERZAHLUNGEN!$B$9:$B$128,C712,SONDERZAHLUNGEN!$C$9:$C$128,A712,SONDERZAHLUNGEN!$H$9:$H$128,"OK",SONDERZAHLUNGEN!$F$9:$F$128,"Ja")))</x:f>
      </x:c>
      <x:c r="H712" s="88" t="str">
        <x:f>IF(C712="","",MIN(MAX(0,D712+E712-F712-G712),MAX(0,IF(MONATSBUDGET!$C$42="",0,MONATSBUDGET!$C$42)-SUM(F700:F719)-SUM(H700:H711))))</x:f>
      </x:c>
      <x:c r="I712" s="88" t="str">
        <x:f>IF(C712="","",MAX(0,ROUND(D712+E712-F712-G712-H712,2)))</x:f>
      </x:c>
      <x:c r="J712" s="88" t="str">
        <x:f>IF(C712="","",F712+G712+H712)</x:f>
      </x:c>
      <x:c r="K712" s="88" t="str">
        <x:f>IF(C712="","",MAX(0,SUMIFS(SONDERZAHLUNGEN!$E$9:$E$128,SONDERZAHLUNGEN!$B$9:$B$128,C712,SONDERZAHLUNGEN!$C$9:$C$128,A712,SONDERZAHLUNGEN!$H$9:$H$128,"OK",SONDERZAHLUNGEN!$F$9:$F$128,"Ja")-G712))</x:f>
      </x:c>
    </x:row>
    <x:row r="713" ht="19" customHeight="1">
      <x:c r="A713" s="90" t="n">
        <x:f>MONATSBUDGET!$A$42</x:f>
        <x:v>47270</x:v>
      </x:c>
      <x:c r="B713" t="n">
        <x:f>14</x:f>
        <x:v>14</x:v>
      </x:c>
      <x:c r="C713" t="str">
        <x:f>IF($N$22="","",$N$22)</x:f>
      </x:c>
      <x:c r="D713" s="88" t="str">
        <x:f>IF(C713="","",I693)</x:f>
      </x:c>
      <x:c r="E713" s="88" t="str">
        <x:f>IF(C713="","",ROUND(D713*$P$22/12,2))</x:f>
      </x:c>
      <x:c r="F713" s="88" t="str">
        <x:f>IF(C713="","",MIN(D713+E713,$Q$22))</x:f>
      </x:c>
      <x:c r="G713" s="88" t="str">
        <x:f>IF(C713="","",MIN(MAX(0,D713+E713-F713),SUMIFS(SONDERZAHLUNGEN!$E$9:$E$128,SONDERZAHLUNGEN!$B$9:$B$128,C713,SONDERZAHLUNGEN!$C$9:$C$128,A713,SONDERZAHLUNGEN!$H$9:$H$128,"OK",SONDERZAHLUNGEN!$F$9:$F$128,"Ja")))</x:f>
      </x:c>
      <x:c r="H713" s="88" t="str">
        <x:f>IF(C713="","",MIN(MAX(0,D713+E713-F713-G713),MAX(0,IF(MONATSBUDGET!$C$42="",0,MONATSBUDGET!$C$42)-SUM(F700:F719)-SUM(H700:H712))))</x:f>
      </x:c>
      <x:c r="I713" s="88" t="str">
        <x:f>IF(C713="","",MAX(0,ROUND(D713+E713-F713-G713-H713,2)))</x:f>
      </x:c>
      <x:c r="J713" s="88" t="str">
        <x:f>IF(C713="","",F713+G713+H713)</x:f>
      </x:c>
      <x:c r="K713" s="88" t="str">
        <x:f>IF(C713="","",MAX(0,SUMIFS(SONDERZAHLUNGEN!$E$9:$E$128,SONDERZAHLUNGEN!$B$9:$B$128,C713,SONDERZAHLUNGEN!$C$9:$C$128,A713,SONDERZAHLUNGEN!$H$9:$H$128,"OK",SONDERZAHLUNGEN!$F$9:$F$128,"Ja")-G713))</x:f>
      </x:c>
    </x:row>
    <x:row r="714" ht="19" customHeight="1">
      <x:c r="A714" s="90" t="n">
        <x:f>MONATSBUDGET!$A$42</x:f>
        <x:v>47270</x:v>
      </x:c>
      <x:c r="B714" t="n">
        <x:f>15</x:f>
        <x:v>15</x:v>
      </x:c>
      <x:c r="C714" t="str">
        <x:f>IF($N$23="","",$N$23)</x:f>
      </x:c>
      <x:c r="D714" s="88" t="str">
        <x:f>IF(C714="","",I694)</x:f>
      </x:c>
      <x:c r="E714" s="88" t="str">
        <x:f>IF(C714="","",ROUND(D714*$P$23/12,2))</x:f>
      </x:c>
      <x:c r="F714" s="88" t="str">
        <x:f>IF(C714="","",MIN(D714+E714,$Q$23))</x:f>
      </x:c>
      <x:c r="G714" s="88" t="str">
        <x:f>IF(C714="","",MIN(MAX(0,D714+E714-F714),SUMIFS(SONDERZAHLUNGEN!$E$9:$E$128,SONDERZAHLUNGEN!$B$9:$B$128,C714,SONDERZAHLUNGEN!$C$9:$C$128,A714,SONDERZAHLUNGEN!$H$9:$H$128,"OK",SONDERZAHLUNGEN!$F$9:$F$128,"Ja")))</x:f>
      </x:c>
      <x:c r="H714" s="88" t="str">
        <x:f>IF(C714="","",MIN(MAX(0,D714+E714-F714-G714),MAX(0,IF(MONATSBUDGET!$C$42="",0,MONATSBUDGET!$C$42)-SUM(F700:F719)-SUM(H700:H713))))</x:f>
      </x:c>
      <x:c r="I714" s="88" t="str">
        <x:f>IF(C714="","",MAX(0,ROUND(D714+E714-F714-G714-H714,2)))</x:f>
      </x:c>
      <x:c r="J714" s="88" t="str">
        <x:f>IF(C714="","",F714+G714+H714)</x:f>
      </x:c>
      <x:c r="K714" s="88" t="str">
        <x:f>IF(C714="","",MAX(0,SUMIFS(SONDERZAHLUNGEN!$E$9:$E$128,SONDERZAHLUNGEN!$B$9:$B$128,C714,SONDERZAHLUNGEN!$C$9:$C$128,A714,SONDERZAHLUNGEN!$H$9:$H$128,"OK",SONDERZAHLUNGEN!$F$9:$F$128,"Ja")-G714))</x:f>
      </x:c>
    </x:row>
    <x:row r="715" ht="19" customHeight="1">
      <x:c r="A715" s="90" t="n">
        <x:f>MONATSBUDGET!$A$42</x:f>
        <x:v>47270</x:v>
      </x:c>
      <x:c r="B715" t="n">
        <x:f>16</x:f>
        <x:v>16</x:v>
      </x:c>
      <x:c r="C715" t="str">
        <x:f>IF($N$24="","",$N$24)</x:f>
      </x:c>
      <x:c r="D715" s="88" t="str">
        <x:f>IF(C715="","",I695)</x:f>
      </x:c>
      <x:c r="E715" s="88" t="str">
        <x:f>IF(C715="","",ROUND(D715*$P$24/12,2))</x:f>
      </x:c>
      <x:c r="F715" s="88" t="str">
        <x:f>IF(C715="","",MIN(D715+E715,$Q$24))</x:f>
      </x:c>
      <x:c r="G715" s="88" t="str">
        <x:f>IF(C715="","",MIN(MAX(0,D715+E715-F715),SUMIFS(SONDERZAHLUNGEN!$E$9:$E$128,SONDERZAHLUNGEN!$B$9:$B$128,C715,SONDERZAHLUNGEN!$C$9:$C$128,A715,SONDERZAHLUNGEN!$H$9:$H$128,"OK",SONDERZAHLUNGEN!$F$9:$F$128,"Ja")))</x:f>
      </x:c>
      <x:c r="H715" s="88" t="str">
        <x:f>IF(C715="","",MIN(MAX(0,D715+E715-F715-G715),MAX(0,IF(MONATSBUDGET!$C$42="",0,MONATSBUDGET!$C$42)-SUM(F700:F719)-SUM(H700:H714))))</x:f>
      </x:c>
      <x:c r="I715" s="88" t="str">
        <x:f>IF(C715="","",MAX(0,ROUND(D715+E715-F715-G715-H715,2)))</x:f>
      </x:c>
      <x:c r="J715" s="88" t="str">
        <x:f>IF(C715="","",F715+G715+H715)</x:f>
      </x:c>
      <x:c r="K715" s="88" t="str">
        <x:f>IF(C715="","",MAX(0,SUMIFS(SONDERZAHLUNGEN!$E$9:$E$128,SONDERZAHLUNGEN!$B$9:$B$128,C715,SONDERZAHLUNGEN!$C$9:$C$128,A715,SONDERZAHLUNGEN!$H$9:$H$128,"OK",SONDERZAHLUNGEN!$F$9:$F$128,"Ja")-G715))</x:f>
      </x:c>
    </x:row>
    <x:row r="716" ht="19" customHeight="1">
      <x:c r="A716" s="90" t="n">
        <x:f>MONATSBUDGET!$A$42</x:f>
        <x:v>47270</x:v>
      </x:c>
      <x:c r="B716" t="n">
        <x:f>17</x:f>
        <x:v>17</x:v>
      </x:c>
      <x:c r="C716" t="str">
        <x:f>IF($N$25="","",$N$25)</x:f>
      </x:c>
      <x:c r="D716" s="88" t="str">
        <x:f>IF(C716="","",I696)</x:f>
      </x:c>
      <x:c r="E716" s="88" t="str">
        <x:f>IF(C716="","",ROUND(D716*$P$25/12,2))</x:f>
      </x:c>
      <x:c r="F716" s="88" t="str">
        <x:f>IF(C716="","",MIN(D716+E716,$Q$25))</x:f>
      </x:c>
      <x:c r="G716" s="88" t="str">
        <x:f>IF(C716="","",MIN(MAX(0,D716+E716-F716),SUMIFS(SONDERZAHLUNGEN!$E$9:$E$128,SONDERZAHLUNGEN!$B$9:$B$128,C716,SONDERZAHLUNGEN!$C$9:$C$128,A716,SONDERZAHLUNGEN!$H$9:$H$128,"OK",SONDERZAHLUNGEN!$F$9:$F$128,"Ja")))</x:f>
      </x:c>
      <x:c r="H716" s="88" t="str">
        <x:f>IF(C716="","",MIN(MAX(0,D716+E716-F716-G716),MAX(0,IF(MONATSBUDGET!$C$42="",0,MONATSBUDGET!$C$42)-SUM(F700:F719)-SUM(H700:H715))))</x:f>
      </x:c>
      <x:c r="I716" s="88" t="str">
        <x:f>IF(C716="","",MAX(0,ROUND(D716+E716-F716-G716-H716,2)))</x:f>
      </x:c>
      <x:c r="J716" s="88" t="str">
        <x:f>IF(C716="","",F716+G716+H716)</x:f>
      </x:c>
      <x:c r="K716" s="88" t="str">
        <x:f>IF(C716="","",MAX(0,SUMIFS(SONDERZAHLUNGEN!$E$9:$E$128,SONDERZAHLUNGEN!$B$9:$B$128,C716,SONDERZAHLUNGEN!$C$9:$C$128,A716,SONDERZAHLUNGEN!$H$9:$H$128,"OK",SONDERZAHLUNGEN!$F$9:$F$128,"Ja")-G716))</x:f>
      </x:c>
    </x:row>
    <x:row r="717" ht="19" customHeight="1">
      <x:c r="A717" s="90" t="n">
        <x:f>MONATSBUDGET!$A$42</x:f>
        <x:v>47270</x:v>
      </x:c>
      <x:c r="B717" t="n">
        <x:f>18</x:f>
        <x:v>18</x:v>
      </x:c>
      <x:c r="C717" t="str">
        <x:f>IF($N$26="","",$N$26)</x:f>
      </x:c>
      <x:c r="D717" s="88" t="str">
        <x:f>IF(C717="","",I697)</x:f>
      </x:c>
      <x:c r="E717" s="88" t="str">
        <x:f>IF(C717="","",ROUND(D717*$P$26/12,2))</x:f>
      </x:c>
      <x:c r="F717" s="88" t="str">
        <x:f>IF(C717="","",MIN(D717+E717,$Q$26))</x:f>
      </x:c>
      <x:c r="G717" s="88" t="str">
        <x:f>IF(C717="","",MIN(MAX(0,D717+E717-F717),SUMIFS(SONDERZAHLUNGEN!$E$9:$E$128,SONDERZAHLUNGEN!$B$9:$B$128,C717,SONDERZAHLUNGEN!$C$9:$C$128,A717,SONDERZAHLUNGEN!$H$9:$H$128,"OK",SONDERZAHLUNGEN!$F$9:$F$128,"Ja")))</x:f>
      </x:c>
      <x:c r="H717" s="88" t="str">
        <x:f>IF(C717="","",MIN(MAX(0,D717+E717-F717-G717),MAX(0,IF(MONATSBUDGET!$C$42="",0,MONATSBUDGET!$C$42)-SUM(F700:F719)-SUM(H700:H716))))</x:f>
      </x:c>
      <x:c r="I717" s="88" t="str">
        <x:f>IF(C717="","",MAX(0,ROUND(D717+E717-F717-G717-H717,2)))</x:f>
      </x:c>
      <x:c r="J717" s="88" t="str">
        <x:f>IF(C717="","",F717+G717+H717)</x:f>
      </x:c>
      <x:c r="K717" s="88" t="str">
        <x:f>IF(C717="","",MAX(0,SUMIFS(SONDERZAHLUNGEN!$E$9:$E$128,SONDERZAHLUNGEN!$B$9:$B$128,C717,SONDERZAHLUNGEN!$C$9:$C$128,A717,SONDERZAHLUNGEN!$H$9:$H$128,"OK",SONDERZAHLUNGEN!$F$9:$F$128,"Ja")-G717))</x:f>
      </x:c>
    </x:row>
    <x:row r="718" ht="19" customHeight="1">
      <x:c r="A718" s="90" t="n">
        <x:f>MONATSBUDGET!$A$42</x:f>
        <x:v>47270</x:v>
      </x:c>
      <x:c r="B718" t="n">
        <x:f>19</x:f>
        <x:v>19</x:v>
      </x:c>
      <x:c r="C718" t="str">
        <x:f>IF($N$27="","",$N$27)</x:f>
      </x:c>
      <x:c r="D718" s="88" t="str">
        <x:f>IF(C718="","",I698)</x:f>
      </x:c>
      <x:c r="E718" s="88" t="str">
        <x:f>IF(C718="","",ROUND(D718*$P$27/12,2))</x:f>
      </x:c>
      <x:c r="F718" s="88" t="str">
        <x:f>IF(C718="","",MIN(D718+E718,$Q$27))</x:f>
      </x:c>
      <x:c r="G718" s="88" t="str">
        <x:f>IF(C718="","",MIN(MAX(0,D718+E718-F718),SUMIFS(SONDERZAHLUNGEN!$E$9:$E$128,SONDERZAHLUNGEN!$B$9:$B$128,C718,SONDERZAHLUNGEN!$C$9:$C$128,A718,SONDERZAHLUNGEN!$H$9:$H$128,"OK",SONDERZAHLUNGEN!$F$9:$F$128,"Ja")))</x:f>
      </x:c>
      <x:c r="H718" s="88" t="str">
        <x:f>IF(C718="","",MIN(MAX(0,D718+E718-F718-G718),MAX(0,IF(MONATSBUDGET!$C$42="",0,MONATSBUDGET!$C$42)-SUM(F700:F719)-SUM(H700:H717))))</x:f>
      </x:c>
      <x:c r="I718" s="88" t="str">
        <x:f>IF(C718="","",MAX(0,ROUND(D718+E718-F718-G718-H718,2)))</x:f>
      </x:c>
      <x:c r="J718" s="88" t="str">
        <x:f>IF(C718="","",F718+G718+H718)</x:f>
      </x:c>
      <x:c r="K718" s="88" t="str">
        <x:f>IF(C718="","",MAX(0,SUMIFS(SONDERZAHLUNGEN!$E$9:$E$128,SONDERZAHLUNGEN!$B$9:$B$128,C718,SONDERZAHLUNGEN!$C$9:$C$128,A718,SONDERZAHLUNGEN!$H$9:$H$128,"OK",SONDERZAHLUNGEN!$F$9:$F$128,"Ja")-G718))</x:f>
      </x:c>
    </x:row>
    <x:row r="719" ht="19" customHeight="1">
      <x:c r="A719" s="90" t="n">
        <x:f>MONATSBUDGET!$A$42</x:f>
        <x:v>47270</x:v>
      </x:c>
      <x:c r="B719" t="n">
        <x:f>20</x:f>
        <x:v>20</x:v>
      </x:c>
      <x:c r="C719" t="str">
        <x:f>IF($N$28="","",$N$28)</x:f>
      </x:c>
      <x:c r="D719" s="88" t="str">
        <x:f>IF(C719="","",I699)</x:f>
      </x:c>
      <x:c r="E719" s="88" t="str">
        <x:f>IF(C719="","",ROUND(D719*$P$28/12,2))</x:f>
      </x:c>
      <x:c r="F719" s="88" t="str">
        <x:f>IF(C719="","",MIN(D719+E719,$Q$28))</x:f>
      </x:c>
      <x:c r="G719" s="88" t="str">
        <x:f>IF(C719="","",MIN(MAX(0,D719+E719-F719),SUMIFS(SONDERZAHLUNGEN!$E$9:$E$128,SONDERZAHLUNGEN!$B$9:$B$128,C719,SONDERZAHLUNGEN!$C$9:$C$128,A719,SONDERZAHLUNGEN!$H$9:$H$128,"OK",SONDERZAHLUNGEN!$F$9:$F$128,"Ja")))</x:f>
      </x:c>
      <x:c r="H719" s="88" t="str">
        <x:f>IF(C719="","",MIN(MAX(0,D719+E719-F719-G719),MAX(0,IF(MONATSBUDGET!$C$42="",0,MONATSBUDGET!$C$42)-SUM(F700:F719)-SUM(H700:H718))))</x:f>
      </x:c>
      <x:c r="I719" s="88" t="str">
        <x:f>IF(C719="","",MAX(0,ROUND(D719+E719-F719-G719-H719,2)))</x:f>
      </x:c>
      <x:c r="J719" s="88" t="str">
        <x:f>IF(C719="","",F719+G719+H719)</x:f>
      </x:c>
      <x:c r="K719" s="88" t="str">
        <x:f>IF(C719="","",MAX(0,SUMIFS(SONDERZAHLUNGEN!$E$9:$E$128,SONDERZAHLUNGEN!$B$9:$B$128,C719,SONDERZAHLUNGEN!$C$9:$C$128,A719,SONDERZAHLUNGEN!$H$9:$H$128,"OK",SONDERZAHLUNGEN!$F$9:$F$128,"Ja")-G719))</x:f>
      </x:c>
    </x:row>
    <x:row r="720" ht="19" customHeight="1">
      <x:c r="A720" s="90" t="n">
        <x:f>MONATSBUDGET!$A$43</x:f>
        <x:v>47300</x:v>
      </x:c>
      <x:c r="B720" t="n">
        <x:f>1</x:f>
        <x:v>1</x:v>
      </x:c>
      <x:c r="C720" t="str">
        <x:f>IF($N$9="","",$N$9)</x:f>
      </x:c>
      <x:c r="D720" s="88" t="str">
        <x:f>IF(C720="","",I700)</x:f>
      </x:c>
      <x:c r="E720" s="88" t="str">
        <x:f>IF(C720="","",ROUND(D720*$P$9/12,2))</x:f>
      </x:c>
      <x:c r="F720" s="88" t="str">
        <x:f>IF(C720="","",MIN(D720+E720,$Q$9))</x:f>
      </x:c>
      <x:c r="G720" s="88" t="str">
        <x:f>IF(C720="","",MIN(MAX(0,D720+E720-F720),SUMIFS(SONDERZAHLUNGEN!$E$9:$E$128,SONDERZAHLUNGEN!$B$9:$B$128,C720,SONDERZAHLUNGEN!$C$9:$C$128,A720,SONDERZAHLUNGEN!$H$9:$H$128,"OK",SONDERZAHLUNGEN!$F$9:$F$128,"Ja")))</x:f>
      </x:c>
      <x:c r="H720" s="88" t="str">
        <x:f>IF(C720="","",MIN(MAX(0,D720+E720-F720-G720),MAX(0,IF(MONATSBUDGET!$C$43="",0,MONATSBUDGET!$C$43)-SUM(F720:F739)-0)))</x:f>
      </x:c>
      <x:c r="I720" s="88" t="str">
        <x:f>IF(C720="","",MAX(0,ROUND(D720+E720-F720-G720-H720,2)))</x:f>
      </x:c>
      <x:c r="J720" s="88" t="str">
        <x:f>IF(C720="","",F720+G720+H720)</x:f>
      </x:c>
      <x:c r="K720" s="88" t="str">
        <x:f>IF(C720="","",MAX(0,SUMIFS(SONDERZAHLUNGEN!$E$9:$E$128,SONDERZAHLUNGEN!$B$9:$B$128,C720,SONDERZAHLUNGEN!$C$9:$C$128,A720,SONDERZAHLUNGEN!$H$9:$H$128,"OK",SONDERZAHLUNGEN!$F$9:$F$128,"Ja")-G720))</x:f>
      </x:c>
    </x:row>
    <x:row r="721" ht="19" customHeight="1">
      <x:c r="A721" s="90" t="n">
        <x:f>MONATSBUDGET!$A$43</x:f>
        <x:v>47300</x:v>
      </x:c>
      <x:c r="B721" t="n">
        <x:f>2</x:f>
        <x:v>2</x:v>
      </x:c>
      <x:c r="C721" t="str">
        <x:f>IF($N$10="","",$N$10)</x:f>
      </x:c>
      <x:c r="D721" s="88" t="str">
        <x:f>IF(C721="","",I701)</x:f>
      </x:c>
      <x:c r="E721" s="88" t="str">
        <x:f>IF(C721="","",ROUND(D721*$P$10/12,2))</x:f>
      </x:c>
      <x:c r="F721" s="88" t="str">
        <x:f>IF(C721="","",MIN(D721+E721,$Q$10))</x:f>
      </x:c>
      <x:c r="G721" s="88" t="str">
        <x:f>IF(C721="","",MIN(MAX(0,D721+E721-F721),SUMIFS(SONDERZAHLUNGEN!$E$9:$E$128,SONDERZAHLUNGEN!$B$9:$B$128,C721,SONDERZAHLUNGEN!$C$9:$C$128,A721,SONDERZAHLUNGEN!$H$9:$H$128,"OK",SONDERZAHLUNGEN!$F$9:$F$128,"Ja")))</x:f>
      </x:c>
      <x:c r="H721" s="88" t="str">
        <x:f>IF(C721="","",MIN(MAX(0,D721+E721-F721-G721),MAX(0,IF(MONATSBUDGET!$C$43="",0,MONATSBUDGET!$C$43)-SUM(F720:F739)-SUM(H720:H720))))</x:f>
      </x:c>
      <x:c r="I721" s="88" t="str">
        <x:f>IF(C721="","",MAX(0,ROUND(D721+E721-F721-G721-H721,2)))</x:f>
      </x:c>
      <x:c r="J721" s="88" t="str">
        <x:f>IF(C721="","",F721+G721+H721)</x:f>
      </x:c>
      <x:c r="K721" s="88" t="str">
        <x:f>IF(C721="","",MAX(0,SUMIFS(SONDERZAHLUNGEN!$E$9:$E$128,SONDERZAHLUNGEN!$B$9:$B$128,C721,SONDERZAHLUNGEN!$C$9:$C$128,A721,SONDERZAHLUNGEN!$H$9:$H$128,"OK",SONDERZAHLUNGEN!$F$9:$F$128,"Ja")-G721))</x:f>
      </x:c>
    </x:row>
    <x:row r="722" ht="19" customHeight="1">
      <x:c r="A722" s="90" t="n">
        <x:f>MONATSBUDGET!$A$43</x:f>
        <x:v>47300</x:v>
      </x:c>
      <x:c r="B722" t="n">
        <x:f>3</x:f>
        <x:v>3</x:v>
      </x:c>
      <x:c r="C722" t="str">
        <x:f>IF($N$11="","",$N$11)</x:f>
      </x:c>
      <x:c r="D722" s="88" t="str">
        <x:f>IF(C722="","",I702)</x:f>
      </x:c>
      <x:c r="E722" s="88" t="str">
        <x:f>IF(C722="","",ROUND(D722*$P$11/12,2))</x:f>
      </x:c>
      <x:c r="F722" s="88" t="str">
        <x:f>IF(C722="","",MIN(D722+E722,$Q$11))</x:f>
      </x:c>
      <x:c r="G722" s="88" t="str">
        <x:f>IF(C722="","",MIN(MAX(0,D722+E722-F722),SUMIFS(SONDERZAHLUNGEN!$E$9:$E$128,SONDERZAHLUNGEN!$B$9:$B$128,C722,SONDERZAHLUNGEN!$C$9:$C$128,A722,SONDERZAHLUNGEN!$H$9:$H$128,"OK",SONDERZAHLUNGEN!$F$9:$F$128,"Ja")))</x:f>
      </x:c>
      <x:c r="H722" s="88" t="str">
        <x:f>IF(C722="","",MIN(MAX(0,D722+E722-F722-G722),MAX(0,IF(MONATSBUDGET!$C$43="",0,MONATSBUDGET!$C$43)-SUM(F720:F739)-SUM(H720:H721))))</x:f>
      </x:c>
      <x:c r="I722" s="88" t="str">
        <x:f>IF(C722="","",MAX(0,ROUND(D722+E722-F722-G722-H722,2)))</x:f>
      </x:c>
      <x:c r="J722" s="88" t="str">
        <x:f>IF(C722="","",F722+G722+H722)</x:f>
      </x:c>
      <x:c r="K722" s="88" t="str">
        <x:f>IF(C722="","",MAX(0,SUMIFS(SONDERZAHLUNGEN!$E$9:$E$128,SONDERZAHLUNGEN!$B$9:$B$128,C722,SONDERZAHLUNGEN!$C$9:$C$128,A722,SONDERZAHLUNGEN!$H$9:$H$128,"OK",SONDERZAHLUNGEN!$F$9:$F$128,"Ja")-G722))</x:f>
      </x:c>
    </x:row>
    <x:row r="723" ht="19" customHeight="1">
      <x:c r="A723" s="90" t="n">
        <x:f>MONATSBUDGET!$A$43</x:f>
        <x:v>47300</x:v>
      </x:c>
      <x:c r="B723" t="n">
        <x:f>4</x:f>
        <x:v>4</x:v>
      </x:c>
      <x:c r="C723" t="str">
        <x:f>IF($N$12="","",$N$12)</x:f>
      </x:c>
      <x:c r="D723" s="88" t="str">
        <x:f>IF(C723="","",I703)</x:f>
      </x:c>
      <x:c r="E723" s="88" t="str">
        <x:f>IF(C723="","",ROUND(D723*$P$12/12,2))</x:f>
      </x:c>
      <x:c r="F723" s="88" t="str">
        <x:f>IF(C723="","",MIN(D723+E723,$Q$12))</x:f>
      </x:c>
      <x:c r="G723" s="88" t="str">
        <x:f>IF(C723="","",MIN(MAX(0,D723+E723-F723),SUMIFS(SONDERZAHLUNGEN!$E$9:$E$128,SONDERZAHLUNGEN!$B$9:$B$128,C723,SONDERZAHLUNGEN!$C$9:$C$128,A723,SONDERZAHLUNGEN!$H$9:$H$128,"OK",SONDERZAHLUNGEN!$F$9:$F$128,"Ja")))</x:f>
      </x:c>
      <x:c r="H723" s="88" t="str">
        <x:f>IF(C723="","",MIN(MAX(0,D723+E723-F723-G723),MAX(0,IF(MONATSBUDGET!$C$43="",0,MONATSBUDGET!$C$43)-SUM(F720:F739)-SUM(H720:H722))))</x:f>
      </x:c>
      <x:c r="I723" s="88" t="str">
        <x:f>IF(C723="","",MAX(0,ROUND(D723+E723-F723-G723-H723,2)))</x:f>
      </x:c>
      <x:c r="J723" s="88" t="str">
        <x:f>IF(C723="","",F723+G723+H723)</x:f>
      </x:c>
      <x:c r="K723" s="88" t="str">
        <x:f>IF(C723="","",MAX(0,SUMIFS(SONDERZAHLUNGEN!$E$9:$E$128,SONDERZAHLUNGEN!$B$9:$B$128,C723,SONDERZAHLUNGEN!$C$9:$C$128,A723,SONDERZAHLUNGEN!$H$9:$H$128,"OK",SONDERZAHLUNGEN!$F$9:$F$128,"Ja")-G723))</x:f>
      </x:c>
    </x:row>
    <x:row r="724" ht="19" customHeight="1">
      <x:c r="A724" s="90" t="n">
        <x:f>MONATSBUDGET!$A$43</x:f>
        <x:v>47300</x:v>
      </x:c>
      <x:c r="B724" t="n">
        <x:f>5</x:f>
        <x:v>5</x:v>
      </x:c>
      <x:c r="C724" t="str">
        <x:f>IF($N$13="","",$N$13)</x:f>
      </x:c>
      <x:c r="D724" s="88" t="str">
        <x:f>IF(C724="","",I704)</x:f>
      </x:c>
      <x:c r="E724" s="88" t="str">
        <x:f>IF(C724="","",ROUND(D724*$P$13/12,2))</x:f>
      </x:c>
      <x:c r="F724" s="88" t="str">
        <x:f>IF(C724="","",MIN(D724+E724,$Q$13))</x:f>
      </x:c>
      <x:c r="G724" s="88" t="str">
        <x:f>IF(C724="","",MIN(MAX(0,D724+E724-F724),SUMIFS(SONDERZAHLUNGEN!$E$9:$E$128,SONDERZAHLUNGEN!$B$9:$B$128,C724,SONDERZAHLUNGEN!$C$9:$C$128,A724,SONDERZAHLUNGEN!$H$9:$H$128,"OK",SONDERZAHLUNGEN!$F$9:$F$128,"Ja")))</x:f>
      </x:c>
      <x:c r="H724" s="88" t="str">
        <x:f>IF(C724="","",MIN(MAX(0,D724+E724-F724-G724),MAX(0,IF(MONATSBUDGET!$C$43="",0,MONATSBUDGET!$C$43)-SUM(F720:F739)-SUM(H720:H723))))</x:f>
      </x:c>
      <x:c r="I724" s="88" t="str">
        <x:f>IF(C724="","",MAX(0,ROUND(D724+E724-F724-G724-H724,2)))</x:f>
      </x:c>
      <x:c r="J724" s="88" t="str">
        <x:f>IF(C724="","",F724+G724+H724)</x:f>
      </x:c>
      <x:c r="K724" s="88" t="str">
        <x:f>IF(C724="","",MAX(0,SUMIFS(SONDERZAHLUNGEN!$E$9:$E$128,SONDERZAHLUNGEN!$B$9:$B$128,C724,SONDERZAHLUNGEN!$C$9:$C$128,A724,SONDERZAHLUNGEN!$H$9:$H$128,"OK",SONDERZAHLUNGEN!$F$9:$F$128,"Ja")-G724))</x:f>
      </x:c>
    </x:row>
    <x:row r="725" ht="19" customHeight="1">
      <x:c r="A725" s="90" t="n">
        <x:f>MONATSBUDGET!$A$43</x:f>
        <x:v>47300</x:v>
      </x:c>
      <x:c r="B725" t="n">
        <x:f>6</x:f>
        <x:v>6</x:v>
      </x:c>
      <x:c r="C725" t="str">
        <x:f>IF($N$14="","",$N$14)</x:f>
      </x:c>
      <x:c r="D725" s="88" t="str">
        <x:f>IF(C725="","",I705)</x:f>
      </x:c>
      <x:c r="E725" s="88" t="str">
        <x:f>IF(C725="","",ROUND(D725*$P$14/12,2))</x:f>
      </x:c>
      <x:c r="F725" s="88" t="str">
        <x:f>IF(C725="","",MIN(D725+E725,$Q$14))</x:f>
      </x:c>
      <x:c r="G725" s="88" t="str">
        <x:f>IF(C725="","",MIN(MAX(0,D725+E725-F725),SUMIFS(SONDERZAHLUNGEN!$E$9:$E$128,SONDERZAHLUNGEN!$B$9:$B$128,C725,SONDERZAHLUNGEN!$C$9:$C$128,A725,SONDERZAHLUNGEN!$H$9:$H$128,"OK",SONDERZAHLUNGEN!$F$9:$F$128,"Ja")))</x:f>
      </x:c>
      <x:c r="H725" s="88" t="str">
        <x:f>IF(C725="","",MIN(MAX(0,D725+E725-F725-G725),MAX(0,IF(MONATSBUDGET!$C$43="",0,MONATSBUDGET!$C$43)-SUM(F720:F739)-SUM(H720:H724))))</x:f>
      </x:c>
      <x:c r="I725" s="88" t="str">
        <x:f>IF(C725="","",MAX(0,ROUND(D725+E725-F725-G725-H725,2)))</x:f>
      </x:c>
      <x:c r="J725" s="88" t="str">
        <x:f>IF(C725="","",F725+G725+H725)</x:f>
      </x:c>
      <x:c r="K725" s="88" t="str">
        <x:f>IF(C725="","",MAX(0,SUMIFS(SONDERZAHLUNGEN!$E$9:$E$128,SONDERZAHLUNGEN!$B$9:$B$128,C725,SONDERZAHLUNGEN!$C$9:$C$128,A725,SONDERZAHLUNGEN!$H$9:$H$128,"OK",SONDERZAHLUNGEN!$F$9:$F$128,"Ja")-G725))</x:f>
      </x:c>
    </x:row>
    <x:row r="726" ht="19" customHeight="1">
      <x:c r="A726" s="90" t="n">
        <x:f>MONATSBUDGET!$A$43</x:f>
        <x:v>47300</x:v>
      </x:c>
      <x:c r="B726" t="n">
        <x:f>7</x:f>
        <x:v>7</x:v>
      </x:c>
      <x:c r="C726" t="str">
        <x:f>IF($N$15="","",$N$15)</x:f>
      </x:c>
      <x:c r="D726" s="88" t="str">
        <x:f>IF(C726="","",I706)</x:f>
      </x:c>
      <x:c r="E726" s="88" t="str">
        <x:f>IF(C726="","",ROUND(D726*$P$15/12,2))</x:f>
      </x:c>
      <x:c r="F726" s="88" t="str">
        <x:f>IF(C726="","",MIN(D726+E726,$Q$15))</x:f>
      </x:c>
      <x:c r="G726" s="88" t="str">
        <x:f>IF(C726="","",MIN(MAX(0,D726+E726-F726),SUMIFS(SONDERZAHLUNGEN!$E$9:$E$128,SONDERZAHLUNGEN!$B$9:$B$128,C726,SONDERZAHLUNGEN!$C$9:$C$128,A726,SONDERZAHLUNGEN!$H$9:$H$128,"OK",SONDERZAHLUNGEN!$F$9:$F$128,"Ja")))</x:f>
      </x:c>
      <x:c r="H726" s="88" t="str">
        <x:f>IF(C726="","",MIN(MAX(0,D726+E726-F726-G726),MAX(0,IF(MONATSBUDGET!$C$43="",0,MONATSBUDGET!$C$43)-SUM(F720:F739)-SUM(H720:H725))))</x:f>
      </x:c>
      <x:c r="I726" s="88" t="str">
        <x:f>IF(C726="","",MAX(0,ROUND(D726+E726-F726-G726-H726,2)))</x:f>
      </x:c>
      <x:c r="J726" s="88" t="str">
        <x:f>IF(C726="","",F726+G726+H726)</x:f>
      </x:c>
      <x:c r="K726" s="88" t="str">
        <x:f>IF(C726="","",MAX(0,SUMIFS(SONDERZAHLUNGEN!$E$9:$E$128,SONDERZAHLUNGEN!$B$9:$B$128,C726,SONDERZAHLUNGEN!$C$9:$C$128,A726,SONDERZAHLUNGEN!$H$9:$H$128,"OK",SONDERZAHLUNGEN!$F$9:$F$128,"Ja")-G726))</x:f>
      </x:c>
    </x:row>
    <x:row r="727" ht="19" customHeight="1">
      <x:c r="A727" s="90" t="n">
        <x:f>MONATSBUDGET!$A$43</x:f>
        <x:v>47300</x:v>
      </x:c>
      <x:c r="B727" t="n">
        <x:f>8</x:f>
        <x:v>8</x:v>
      </x:c>
      <x:c r="C727" t="str">
        <x:f>IF($N$16="","",$N$16)</x:f>
      </x:c>
      <x:c r="D727" s="88" t="str">
        <x:f>IF(C727="","",I707)</x:f>
      </x:c>
      <x:c r="E727" s="88" t="str">
        <x:f>IF(C727="","",ROUND(D727*$P$16/12,2))</x:f>
      </x:c>
      <x:c r="F727" s="88" t="str">
        <x:f>IF(C727="","",MIN(D727+E727,$Q$16))</x:f>
      </x:c>
      <x:c r="G727" s="88" t="str">
        <x:f>IF(C727="","",MIN(MAX(0,D727+E727-F727),SUMIFS(SONDERZAHLUNGEN!$E$9:$E$128,SONDERZAHLUNGEN!$B$9:$B$128,C727,SONDERZAHLUNGEN!$C$9:$C$128,A727,SONDERZAHLUNGEN!$H$9:$H$128,"OK",SONDERZAHLUNGEN!$F$9:$F$128,"Ja")))</x:f>
      </x:c>
      <x:c r="H727" s="88" t="str">
        <x:f>IF(C727="","",MIN(MAX(0,D727+E727-F727-G727),MAX(0,IF(MONATSBUDGET!$C$43="",0,MONATSBUDGET!$C$43)-SUM(F720:F739)-SUM(H720:H726))))</x:f>
      </x:c>
      <x:c r="I727" s="88" t="str">
        <x:f>IF(C727="","",MAX(0,ROUND(D727+E727-F727-G727-H727,2)))</x:f>
      </x:c>
      <x:c r="J727" s="88" t="str">
        <x:f>IF(C727="","",F727+G727+H727)</x:f>
      </x:c>
      <x:c r="K727" s="88" t="str">
        <x:f>IF(C727="","",MAX(0,SUMIFS(SONDERZAHLUNGEN!$E$9:$E$128,SONDERZAHLUNGEN!$B$9:$B$128,C727,SONDERZAHLUNGEN!$C$9:$C$128,A727,SONDERZAHLUNGEN!$H$9:$H$128,"OK",SONDERZAHLUNGEN!$F$9:$F$128,"Ja")-G727))</x:f>
      </x:c>
    </x:row>
    <x:row r="728" ht="19" customHeight="1">
      <x:c r="A728" s="90" t="n">
        <x:f>MONATSBUDGET!$A$43</x:f>
        <x:v>47300</x:v>
      </x:c>
      <x:c r="B728" t="n">
        <x:f>9</x:f>
        <x:v>9</x:v>
      </x:c>
      <x:c r="C728" t="str">
        <x:f>IF($N$17="","",$N$17)</x:f>
      </x:c>
      <x:c r="D728" s="88" t="str">
        <x:f>IF(C728="","",I708)</x:f>
      </x:c>
      <x:c r="E728" s="88" t="str">
        <x:f>IF(C728="","",ROUND(D728*$P$17/12,2))</x:f>
      </x:c>
      <x:c r="F728" s="88" t="str">
        <x:f>IF(C728="","",MIN(D728+E728,$Q$17))</x:f>
      </x:c>
      <x:c r="G728" s="88" t="str">
        <x:f>IF(C728="","",MIN(MAX(0,D728+E728-F728),SUMIFS(SONDERZAHLUNGEN!$E$9:$E$128,SONDERZAHLUNGEN!$B$9:$B$128,C728,SONDERZAHLUNGEN!$C$9:$C$128,A728,SONDERZAHLUNGEN!$H$9:$H$128,"OK",SONDERZAHLUNGEN!$F$9:$F$128,"Ja")))</x:f>
      </x:c>
      <x:c r="H728" s="88" t="str">
        <x:f>IF(C728="","",MIN(MAX(0,D728+E728-F728-G728),MAX(0,IF(MONATSBUDGET!$C$43="",0,MONATSBUDGET!$C$43)-SUM(F720:F739)-SUM(H720:H727))))</x:f>
      </x:c>
      <x:c r="I728" s="88" t="str">
        <x:f>IF(C728="","",MAX(0,ROUND(D728+E728-F728-G728-H728,2)))</x:f>
      </x:c>
      <x:c r="J728" s="88" t="str">
        <x:f>IF(C728="","",F728+G728+H728)</x:f>
      </x:c>
      <x:c r="K728" s="88" t="str">
        <x:f>IF(C728="","",MAX(0,SUMIFS(SONDERZAHLUNGEN!$E$9:$E$128,SONDERZAHLUNGEN!$B$9:$B$128,C728,SONDERZAHLUNGEN!$C$9:$C$128,A728,SONDERZAHLUNGEN!$H$9:$H$128,"OK",SONDERZAHLUNGEN!$F$9:$F$128,"Ja")-G728))</x:f>
      </x:c>
    </x:row>
    <x:row r="729" ht="19" customHeight="1">
      <x:c r="A729" s="90" t="n">
        <x:f>MONATSBUDGET!$A$43</x:f>
        <x:v>47300</x:v>
      </x:c>
      <x:c r="B729" t="n">
        <x:f>10</x:f>
        <x:v>10</x:v>
      </x:c>
      <x:c r="C729" t="str">
        <x:f>IF($N$18="","",$N$18)</x:f>
      </x:c>
      <x:c r="D729" s="88" t="str">
        <x:f>IF(C729="","",I709)</x:f>
      </x:c>
      <x:c r="E729" s="88" t="str">
        <x:f>IF(C729="","",ROUND(D729*$P$18/12,2))</x:f>
      </x:c>
      <x:c r="F729" s="88" t="str">
        <x:f>IF(C729="","",MIN(D729+E729,$Q$18))</x:f>
      </x:c>
      <x:c r="G729" s="88" t="str">
        <x:f>IF(C729="","",MIN(MAX(0,D729+E729-F729),SUMIFS(SONDERZAHLUNGEN!$E$9:$E$128,SONDERZAHLUNGEN!$B$9:$B$128,C729,SONDERZAHLUNGEN!$C$9:$C$128,A729,SONDERZAHLUNGEN!$H$9:$H$128,"OK",SONDERZAHLUNGEN!$F$9:$F$128,"Ja")))</x:f>
      </x:c>
      <x:c r="H729" s="88" t="str">
        <x:f>IF(C729="","",MIN(MAX(0,D729+E729-F729-G729),MAX(0,IF(MONATSBUDGET!$C$43="",0,MONATSBUDGET!$C$43)-SUM(F720:F739)-SUM(H720:H728))))</x:f>
      </x:c>
      <x:c r="I729" s="88" t="str">
        <x:f>IF(C729="","",MAX(0,ROUND(D729+E729-F729-G729-H729,2)))</x:f>
      </x:c>
      <x:c r="J729" s="88" t="str">
        <x:f>IF(C729="","",F729+G729+H729)</x:f>
      </x:c>
      <x:c r="K729" s="88" t="str">
        <x:f>IF(C729="","",MAX(0,SUMIFS(SONDERZAHLUNGEN!$E$9:$E$128,SONDERZAHLUNGEN!$B$9:$B$128,C729,SONDERZAHLUNGEN!$C$9:$C$128,A729,SONDERZAHLUNGEN!$H$9:$H$128,"OK",SONDERZAHLUNGEN!$F$9:$F$128,"Ja")-G729))</x:f>
      </x:c>
    </x:row>
    <x:row r="730" ht="19" customHeight="1">
      <x:c r="A730" s="90" t="n">
        <x:f>MONATSBUDGET!$A$43</x:f>
        <x:v>47300</x:v>
      </x:c>
      <x:c r="B730" t="n">
        <x:f>11</x:f>
        <x:v>11</x:v>
      </x:c>
      <x:c r="C730" t="str">
        <x:f>IF($N$19="","",$N$19)</x:f>
      </x:c>
      <x:c r="D730" s="88" t="str">
        <x:f>IF(C730="","",I710)</x:f>
      </x:c>
      <x:c r="E730" s="88" t="str">
        <x:f>IF(C730="","",ROUND(D730*$P$19/12,2))</x:f>
      </x:c>
      <x:c r="F730" s="88" t="str">
        <x:f>IF(C730="","",MIN(D730+E730,$Q$19))</x:f>
      </x:c>
      <x:c r="G730" s="88" t="str">
        <x:f>IF(C730="","",MIN(MAX(0,D730+E730-F730),SUMIFS(SONDERZAHLUNGEN!$E$9:$E$128,SONDERZAHLUNGEN!$B$9:$B$128,C730,SONDERZAHLUNGEN!$C$9:$C$128,A730,SONDERZAHLUNGEN!$H$9:$H$128,"OK",SONDERZAHLUNGEN!$F$9:$F$128,"Ja")))</x:f>
      </x:c>
      <x:c r="H730" s="88" t="str">
        <x:f>IF(C730="","",MIN(MAX(0,D730+E730-F730-G730),MAX(0,IF(MONATSBUDGET!$C$43="",0,MONATSBUDGET!$C$43)-SUM(F720:F739)-SUM(H720:H729))))</x:f>
      </x:c>
      <x:c r="I730" s="88" t="str">
        <x:f>IF(C730="","",MAX(0,ROUND(D730+E730-F730-G730-H730,2)))</x:f>
      </x:c>
      <x:c r="J730" s="88" t="str">
        <x:f>IF(C730="","",F730+G730+H730)</x:f>
      </x:c>
      <x:c r="K730" s="88" t="str">
        <x:f>IF(C730="","",MAX(0,SUMIFS(SONDERZAHLUNGEN!$E$9:$E$128,SONDERZAHLUNGEN!$B$9:$B$128,C730,SONDERZAHLUNGEN!$C$9:$C$128,A730,SONDERZAHLUNGEN!$H$9:$H$128,"OK",SONDERZAHLUNGEN!$F$9:$F$128,"Ja")-G730))</x:f>
      </x:c>
    </x:row>
    <x:row r="731" ht="19" customHeight="1">
      <x:c r="A731" s="90" t="n">
        <x:f>MONATSBUDGET!$A$43</x:f>
        <x:v>47300</x:v>
      </x:c>
      <x:c r="B731" t="n">
        <x:f>12</x:f>
        <x:v>12</x:v>
      </x:c>
      <x:c r="C731" t="str">
        <x:f>IF($N$20="","",$N$20)</x:f>
      </x:c>
      <x:c r="D731" s="88" t="str">
        <x:f>IF(C731="","",I711)</x:f>
      </x:c>
      <x:c r="E731" s="88" t="str">
        <x:f>IF(C731="","",ROUND(D731*$P$20/12,2))</x:f>
      </x:c>
      <x:c r="F731" s="88" t="str">
        <x:f>IF(C731="","",MIN(D731+E731,$Q$20))</x:f>
      </x:c>
      <x:c r="G731" s="88" t="str">
        <x:f>IF(C731="","",MIN(MAX(0,D731+E731-F731),SUMIFS(SONDERZAHLUNGEN!$E$9:$E$128,SONDERZAHLUNGEN!$B$9:$B$128,C731,SONDERZAHLUNGEN!$C$9:$C$128,A731,SONDERZAHLUNGEN!$H$9:$H$128,"OK",SONDERZAHLUNGEN!$F$9:$F$128,"Ja")))</x:f>
      </x:c>
      <x:c r="H731" s="88" t="str">
        <x:f>IF(C731="","",MIN(MAX(0,D731+E731-F731-G731),MAX(0,IF(MONATSBUDGET!$C$43="",0,MONATSBUDGET!$C$43)-SUM(F720:F739)-SUM(H720:H730))))</x:f>
      </x:c>
      <x:c r="I731" s="88" t="str">
        <x:f>IF(C731="","",MAX(0,ROUND(D731+E731-F731-G731-H731,2)))</x:f>
      </x:c>
      <x:c r="J731" s="88" t="str">
        <x:f>IF(C731="","",F731+G731+H731)</x:f>
      </x:c>
      <x:c r="K731" s="88" t="str">
        <x:f>IF(C731="","",MAX(0,SUMIFS(SONDERZAHLUNGEN!$E$9:$E$128,SONDERZAHLUNGEN!$B$9:$B$128,C731,SONDERZAHLUNGEN!$C$9:$C$128,A731,SONDERZAHLUNGEN!$H$9:$H$128,"OK",SONDERZAHLUNGEN!$F$9:$F$128,"Ja")-G731))</x:f>
      </x:c>
    </x:row>
    <x:row r="732" ht="19" customHeight="1">
      <x:c r="A732" s="90" t="n">
        <x:f>MONATSBUDGET!$A$43</x:f>
        <x:v>47300</x:v>
      </x:c>
      <x:c r="B732" t="n">
        <x:f>13</x:f>
        <x:v>13</x:v>
      </x:c>
      <x:c r="C732" t="str">
        <x:f>IF($N$21="","",$N$21)</x:f>
      </x:c>
      <x:c r="D732" s="88" t="str">
        <x:f>IF(C732="","",I712)</x:f>
      </x:c>
      <x:c r="E732" s="88" t="str">
        <x:f>IF(C732="","",ROUND(D732*$P$21/12,2))</x:f>
      </x:c>
      <x:c r="F732" s="88" t="str">
        <x:f>IF(C732="","",MIN(D732+E732,$Q$21))</x:f>
      </x:c>
      <x:c r="G732" s="88" t="str">
        <x:f>IF(C732="","",MIN(MAX(0,D732+E732-F732),SUMIFS(SONDERZAHLUNGEN!$E$9:$E$128,SONDERZAHLUNGEN!$B$9:$B$128,C732,SONDERZAHLUNGEN!$C$9:$C$128,A732,SONDERZAHLUNGEN!$H$9:$H$128,"OK",SONDERZAHLUNGEN!$F$9:$F$128,"Ja")))</x:f>
      </x:c>
      <x:c r="H732" s="88" t="str">
        <x:f>IF(C732="","",MIN(MAX(0,D732+E732-F732-G732),MAX(0,IF(MONATSBUDGET!$C$43="",0,MONATSBUDGET!$C$43)-SUM(F720:F739)-SUM(H720:H731))))</x:f>
      </x:c>
      <x:c r="I732" s="88" t="str">
        <x:f>IF(C732="","",MAX(0,ROUND(D732+E732-F732-G732-H732,2)))</x:f>
      </x:c>
      <x:c r="J732" s="88" t="str">
        <x:f>IF(C732="","",F732+G732+H732)</x:f>
      </x:c>
      <x:c r="K732" s="88" t="str">
        <x:f>IF(C732="","",MAX(0,SUMIFS(SONDERZAHLUNGEN!$E$9:$E$128,SONDERZAHLUNGEN!$B$9:$B$128,C732,SONDERZAHLUNGEN!$C$9:$C$128,A732,SONDERZAHLUNGEN!$H$9:$H$128,"OK",SONDERZAHLUNGEN!$F$9:$F$128,"Ja")-G732))</x:f>
      </x:c>
    </x:row>
    <x:row r="733" ht="19" customHeight="1">
      <x:c r="A733" s="90" t="n">
        <x:f>MONATSBUDGET!$A$43</x:f>
        <x:v>47300</x:v>
      </x:c>
      <x:c r="B733" t="n">
        <x:f>14</x:f>
        <x:v>14</x:v>
      </x:c>
      <x:c r="C733" t="str">
        <x:f>IF($N$22="","",$N$22)</x:f>
      </x:c>
      <x:c r="D733" s="88" t="str">
        <x:f>IF(C733="","",I713)</x:f>
      </x:c>
      <x:c r="E733" s="88" t="str">
        <x:f>IF(C733="","",ROUND(D733*$P$22/12,2))</x:f>
      </x:c>
      <x:c r="F733" s="88" t="str">
        <x:f>IF(C733="","",MIN(D733+E733,$Q$22))</x:f>
      </x:c>
      <x:c r="G733" s="88" t="str">
        <x:f>IF(C733="","",MIN(MAX(0,D733+E733-F733),SUMIFS(SONDERZAHLUNGEN!$E$9:$E$128,SONDERZAHLUNGEN!$B$9:$B$128,C733,SONDERZAHLUNGEN!$C$9:$C$128,A733,SONDERZAHLUNGEN!$H$9:$H$128,"OK",SONDERZAHLUNGEN!$F$9:$F$128,"Ja")))</x:f>
      </x:c>
      <x:c r="H733" s="88" t="str">
        <x:f>IF(C733="","",MIN(MAX(0,D733+E733-F733-G733),MAX(0,IF(MONATSBUDGET!$C$43="",0,MONATSBUDGET!$C$43)-SUM(F720:F739)-SUM(H720:H732))))</x:f>
      </x:c>
      <x:c r="I733" s="88" t="str">
        <x:f>IF(C733="","",MAX(0,ROUND(D733+E733-F733-G733-H733,2)))</x:f>
      </x:c>
      <x:c r="J733" s="88" t="str">
        <x:f>IF(C733="","",F733+G733+H733)</x:f>
      </x:c>
      <x:c r="K733" s="88" t="str">
        <x:f>IF(C733="","",MAX(0,SUMIFS(SONDERZAHLUNGEN!$E$9:$E$128,SONDERZAHLUNGEN!$B$9:$B$128,C733,SONDERZAHLUNGEN!$C$9:$C$128,A733,SONDERZAHLUNGEN!$H$9:$H$128,"OK",SONDERZAHLUNGEN!$F$9:$F$128,"Ja")-G733))</x:f>
      </x:c>
    </x:row>
    <x:row r="734" ht="19" customHeight="1">
      <x:c r="A734" s="90" t="n">
        <x:f>MONATSBUDGET!$A$43</x:f>
        <x:v>47300</x:v>
      </x:c>
      <x:c r="B734" t="n">
        <x:f>15</x:f>
        <x:v>15</x:v>
      </x:c>
      <x:c r="C734" t="str">
        <x:f>IF($N$23="","",$N$23)</x:f>
      </x:c>
      <x:c r="D734" s="88" t="str">
        <x:f>IF(C734="","",I714)</x:f>
      </x:c>
      <x:c r="E734" s="88" t="str">
        <x:f>IF(C734="","",ROUND(D734*$P$23/12,2))</x:f>
      </x:c>
      <x:c r="F734" s="88" t="str">
        <x:f>IF(C734="","",MIN(D734+E734,$Q$23))</x:f>
      </x:c>
      <x:c r="G734" s="88" t="str">
        <x:f>IF(C734="","",MIN(MAX(0,D734+E734-F734),SUMIFS(SONDERZAHLUNGEN!$E$9:$E$128,SONDERZAHLUNGEN!$B$9:$B$128,C734,SONDERZAHLUNGEN!$C$9:$C$128,A734,SONDERZAHLUNGEN!$H$9:$H$128,"OK",SONDERZAHLUNGEN!$F$9:$F$128,"Ja")))</x:f>
      </x:c>
      <x:c r="H734" s="88" t="str">
        <x:f>IF(C734="","",MIN(MAX(0,D734+E734-F734-G734),MAX(0,IF(MONATSBUDGET!$C$43="",0,MONATSBUDGET!$C$43)-SUM(F720:F739)-SUM(H720:H733))))</x:f>
      </x:c>
      <x:c r="I734" s="88" t="str">
        <x:f>IF(C734="","",MAX(0,ROUND(D734+E734-F734-G734-H734,2)))</x:f>
      </x:c>
      <x:c r="J734" s="88" t="str">
        <x:f>IF(C734="","",F734+G734+H734)</x:f>
      </x:c>
      <x:c r="K734" s="88" t="str">
        <x:f>IF(C734="","",MAX(0,SUMIFS(SONDERZAHLUNGEN!$E$9:$E$128,SONDERZAHLUNGEN!$B$9:$B$128,C734,SONDERZAHLUNGEN!$C$9:$C$128,A734,SONDERZAHLUNGEN!$H$9:$H$128,"OK",SONDERZAHLUNGEN!$F$9:$F$128,"Ja")-G734))</x:f>
      </x:c>
    </x:row>
    <x:row r="735" ht="19" customHeight="1">
      <x:c r="A735" s="90" t="n">
        <x:f>MONATSBUDGET!$A$43</x:f>
        <x:v>47300</x:v>
      </x:c>
      <x:c r="B735" t="n">
        <x:f>16</x:f>
        <x:v>16</x:v>
      </x:c>
      <x:c r="C735" t="str">
        <x:f>IF($N$24="","",$N$24)</x:f>
      </x:c>
      <x:c r="D735" s="88" t="str">
        <x:f>IF(C735="","",I715)</x:f>
      </x:c>
      <x:c r="E735" s="88" t="str">
        <x:f>IF(C735="","",ROUND(D735*$P$24/12,2))</x:f>
      </x:c>
      <x:c r="F735" s="88" t="str">
        <x:f>IF(C735="","",MIN(D735+E735,$Q$24))</x:f>
      </x:c>
      <x:c r="G735" s="88" t="str">
        <x:f>IF(C735="","",MIN(MAX(0,D735+E735-F735),SUMIFS(SONDERZAHLUNGEN!$E$9:$E$128,SONDERZAHLUNGEN!$B$9:$B$128,C735,SONDERZAHLUNGEN!$C$9:$C$128,A735,SONDERZAHLUNGEN!$H$9:$H$128,"OK",SONDERZAHLUNGEN!$F$9:$F$128,"Ja")))</x:f>
      </x:c>
      <x:c r="H735" s="88" t="str">
        <x:f>IF(C735="","",MIN(MAX(0,D735+E735-F735-G735),MAX(0,IF(MONATSBUDGET!$C$43="",0,MONATSBUDGET!$C$43)-SUM(F720:F739)-SUM(H720:H734))))</x:f>
      </x:c>
      <x:c r="I735" s="88" t="str">
        <x:f>IF(C735="","",MAX(0,ROUND(D735+E735-F735-G735-H735,2)))</x:f>
      </x:c>
      <x:c r="J735" s="88" t="str">
        <x:f>IF(C735="","",F735+G735+H735)</x:f>
      </x:c>
      <x:c r="K735" s="88" t="str">
        <x:f>IF(C735="","",MAX(0,SUMIFS(SONDERZAHLUNGEN!$E$9:$E$128,SONDERZAHLUNGEN!$B$9:$B$128,C735,SONDERZAHLUNGEN!$C$9:$C$128,A735,SONDERZAHLUNGEN!$H$9:$H$128,"OK",SONDERZAHLUNGEN!$F$9:$F$128,"Ja")-G735))</x:f>
      </x:c>
    </x:row>
    <x:row r="736" ht="19" customHeight="1">
      <x:c r="A736" s="90" t="n">
        <x:f>MONATSBUDGET!$A$43</x:f>
        <x:v>47300</x:v>
      </x:c>
      <x:c r="B736" t="n">
        <x:f>17</x:f>
        <x:v>17</x:v>
      </x:c>
      <x:c r="C736" t="str">
        <x:f>IF($N$25="","",$N$25)</x:f>
      </x:c>
      <x:c r="D736" s="88" t="str">
        <x:f>IF(C736="","",I716)</x:f>
      </x:c>
      <x:c r="E736" s="88" t="str">
        <x:f>IF(C736="","",ROUND(D736*$P$25/12,2))</x:f>
      </x:c>
      <x:c r="F736" s="88" t="str">
        <x:f>IF(C736="","",MIN(D736+E736,$Q$25))</x:f>
      </x:c>
      <x:c r="G736" s="88" t="str">
        <x:f>IF(C736="","",MIN(MAX(0,D736+E736-F736),SUMIFS(SONDERZAHLUNGEN!$E$9:$E$128,SONDERZAHLUNGEN!$B$9:$B$128,C736,SONDERZAHLUNGEN!$C$9:$C$128,A736,SONDERZAHLUNGEN!$H$9:$H$128,"OK",SONDERZAHLUNGEN!$F$9:$F$128,"Ja")))</x:f>
      </x:c>
      <x:c r="H736" s="88" t="str">
        <x:f>IF(C736="","",MIN(MAX(0,D736+E736-F736-G736),MAX(0,IF(MONATSBUDGET!$C$43="",0,MONATSBUDGET!$C$43)-SUM(F720:F739)-SUM(H720:H735))))</x:f>
      </x:c>
      <x:c r="I736" s="88" t="str">
        <x:f>IF(C736="","",MAX(0,ROUND(D736+E736-F736-G736-H736,2)))</x:f>
      </x:c>
      <x:c r="J736" s="88" t="str">
        <x:f>IF(C736="","",F736+G736+H736)</x:f>
      </x:c>
      <x:c r="K736" s="88" t="str">
        <x:f>IF(C736="","",MAX(0,SUMIFS(SONDERZAHLUNGEN!$E$9:$E$128,SONDERZAHLUNGEN!$B$9:$B$128,C736,SONDERZAHLUNGEN!$C$9:$C$128,A736,SONDERZAHLUNGEN!$H$9:$H$128,"OK",SONDERZAHLUNGEN!$F$9:$F$128,"Ja")-G736))</x:f>
      </x:c>
    </x:row>
    <x:row r="737" ht="19" customHeight="1">
      <x:c r="A737" s="90" t="n">
        <x:f>MONATSBUDGET!$A$43</x:f>
        <x:v>47300</x:v>
      </x:c>
      <x:c r="B737" t="n">
        <x:f>18</x:f>
        <x:v>18</x:v>
      </x:c>
      <x:c r="C737" t="str">
        <x:f>IF($N$26="","",$N$26)</x:f>
      </x:c>
      <x:c r="D737" s="88" t="str">
        <x:f>IF(C737="","",I717)</x:f>
      </x:c>
      <x:c r="E737" s="88" t="str">
        <x:f>IF(C737="","",ROUND(D737*$P$26/12,2))</x:f>
      </x:c>
      <x:c r="F737" s="88" t="str">
        <x:f>IF(C737="","",MIN(D737+E737,$Q$26))</x:f>
      </x:c>
      <x:c r="G737" s="88" t="str">
        <x:f>IF(C737="","",MIN(MAX(0,D737+E737-F737),SUMIFS(SONDERZAHLUNGEN!$E$9:$E$128,SONDERZAHLUNGEN!$B$9:$B$128,C737,SONDERZAHLUNGEN!$C$9:$C$128,A737,SONDERZAHLUNGEN!$H$9:$H$128,"OK",SONDERZAHLUNGEN!$F$9:$F$128,"Ja")))</x:f>
      </x:c>
      <x:c r="H737" s="88" t="str">
        <x:f>IF(C737="","",MIN(MAX(0,D737+E737-F737-G737),MAX(0,IF(MONATSBUDGET!$C$43="",0,MONATSBUDGET!$C$43)-SUM(F720:F739)-SUM(H720:H736))))</x:f>
      </x:c>
      <x:c r="I737" s="88" t="str">
        <x:f>IF(C737="","",MAX(0,ROUND(D737+E737-F737-G737-H737,2)))</x:f>
      </x:c>
      <x:c r="J737" s="88" t="str">
        <x:f>IF(C737="","",F737+G737+H737)</x:f>
      </x:c>
      <x:c r="K737" s="88" t="str">
        <x:f>IF(C737="","",MAX(0,SUMIFS(SONDERZAHLUNGEN!$E$9:$E$128,SONDERZAHLUNGEN!$B$9:$B$128,C737,SONDERZAHLUNGEN!$C$9:$C$128,A737,SONDERZAHLUNGEN!$H$9:$H$128,"OK",SONDERZAHLUNGEN!$F$9:$F$128,"Ja")-G737))</x:f>
      </x:c>
    </x:row>
    <x:row r="738" ht="19" customHeight="1">
      <x:c r="A738" s="90" t="n">
        <x:f>MONATSBUDGET!$A$43</x:f>
        <x:v>47300</x:v>
      </x:c>
      <x:c r="B738" t="n">
        <x:f>19</x:f>
        <x:v>19</x:v>
      </x:c>
      <x:c r="C738" t="str">
        <x:f>IF($N$27="","",$N$27)</x:f>
      </x:c>
      <x:c r="D738" s="88" t="str">
        <x:f>IF(C738="","",I718)</x:f>
      </x:c>
      <x:c r="E738" s="88" t="str">
        <x:f>IF(C738="","",ROUND(D738*$P$27/12,2))</x:f>
      </x:c>
      <x:c r="F738" s="88" t="str">
        <x:f>IF(C738="","",MIN(D738+E738,$Q$27))</x:f>
      </x:c>
      <x:c r="G738" s="88" t="str">
        <x:f>IF(C738="","",MIN(MAX(0,D738+E738-F738),SUMIFS(SONDERZAHLUNGEN!$E$9:$E$128,SONDERZAHLUNGEN!$B$9:$B$128,C738,SONDERZAHLUNGEN!$C$9:$C$128,A738,SONDERZAHLUNGEN!$H$9:$H$128,"OK",SONDERZAHLUNGEN!$F$9:$F$128,"Ja")))</x:f>
      </x:c>
      <x:c r="H738" s="88" t="str">
        <x:f>IF(C738="","",MIN(MAX(0,D738+E738-F738-G738),MAX(0,IF(MONATSBUDGET!$C$43="",0,MONATSBUDGET!$C$43)-SUM(F720:F739)-SUM(H720:H737))))</x:f>
      </x:c>
      <x:c r="I738" s="88" t="str">
        <x:f>IF(C738="","",MAX(0,ROUND(D738+E738-F738-G738-H738,2)))</x:f>
      </x:c>
      <x:c r="J738" s="88" t="str">
        <x:f>IF(C738="","",F738+G738+H738)</x:f>
      </x:c>
      <x:c r="K738" s="88" t="str">
        <x:f>IF(C738="","",MAX(0,SUMIFS(SONDERZAHLUNGEN!$E$9:$E$128,SONDERZAHLUNGEN!$B$9:$B$128,C738,SONDERZAHLUNGEN!$C$9:$C$128,A738,SONDERZAHLUNGEN!$H$9:$H$128,"OK",SONDERZAHLUNGEN!$F$9:$F$128,"Ja")-G738))</x:f>
      </x:c>
    </x:row>
    <x:row r="739" ht="19" customHeight="1">
      <x:c r="A739" s="90" t="n">
        <x:f>MONATSBUDGET!$A$43</x:f>
        <x:v>47300</x:v>
      </x:c>
      <x:c r="B739" t="n">
        <x:f>20</x:f>
        <x:v>20</x:v>
      </x:c>
      <x:c r="C739" t="str">
        <x:f>IF($N$28="","",$N$28)</x:f>
      </x:c>
      <x:c r="D739" s="88" t="str">
        <x:f>IF(C739="","",I719)</x:f>
      </x:c>
      <x:c r="E739" s="88" t="str">
        <x:f>IF(C739="","",ROUND(D739*$P$28/12,2))</x:f>
      </x:c>
      <x:c r="F739" s="88" t="str">
        <x:f>IF(C739="","",MIN(D739+E739,$Q$28))</x:f>
      </x:c>
      <x:c r="G739" s="88" t="str">
        <x:f>IF(C739="","",MIN(MAX(0,D739+E739-F739),SUMIFS(SONDERZAHLUNGEN!$E$9:$E$128,SONDERZAHLUNGEN!$B$9:$B$128,C739,SONDERZAHLUNGEN!$C$9:$C$128,A739,SONDERZAHLUNGEN!$H$9:$H$128,"OK",SONDERZAHLUNGEN!$F$9:$F$128,"Ja")))</x:f>
      </x:c>
      <x:c r="H739" s="88" t="str">
        <x:f>IF(C739="","",MIN(MAX(0,D739+E739-F739-G739),MAX(0,IF(MONATSBUDGET!$C$43="",0,MONATSBUDGET!$C$43)-SUM(F720:F739)-SUM(H720:H738))))</x:f>
      </x:c>
      <x:c r="I739" s="88" t="str">
        <x:f>IF(C739="","",MAX(0,ROUND(D739+E739-F739-G739-H739,2)))</x:f>
      </x:c>
      <x:c r="J739" s="88" t="str">
        <x:f>IF(C739="","",F739+G739+H739)</x:f>
      </x:c>
      <x:c r="K739" s="88" t="str">
        <x:f>IF(C739="","",MAX(0,SUMIFS(SONDERZAHLUNGEN!$E$9:$E$128,SONDERZAHLUNGEN!$B$9:$B$128,C739,SONDERZAHLUNGEN!$C$9:$C$128,A739,SONDERZAHLUNGEN!$H$9:$H$128,"OK",SONDERZAHLUNGEN!$F$9:$F$128,"Ja")-G739))</x:f>
      </x:c>
    </x:row>
    <x:row r="740" ht="19" customHeight="1">
      <x:c r="A740" s="90" t="n">
        <x:f>MONATSBUDGET!$A$44</x:f>
        <x:v>47331</x:v>
      </x:c>
      <x:c r="B740" t="n">
        <x:f>1</x:f>
        <x:v>1</x:v>
      </x:c>
      <x:c r="C740" t="str">
        <x:f>IF($N$9="","",$N$9)</x:f>
      </x:c>
      <x:c r="D740" s="88" t="str">
        <x:f>IF(C740="","",I720)</x:f>
      </x:c>
      <x:c r="E740" s="88" t="str">
        <x:f>IF(C740="","",ROUND(D740*$P$9/12,2))</x:f>
      </x:c>
      <x:c r="F740" s="88" t="str">
        <x:f>IF(C740="","",MIN(D740+E740,$Q$9))</x:f>
      </x:c>
      <x:c r="G740" s="88" t="str">
        <x:f>IF(C740="","",MIN(MAX(0,D740+E740-F740),SUMIFS(SONDERZAHLUNGEN!$E$9:$E$128,SONDERZAHLUNGEN!$B$9:$B$128,C740,SONDERZAHLUNGEN!$C$9:$C$128,A740,SONDERZAHLUNGEN!$H$9:$H$128,"OK",SONDERZAHLUNGEN!$F$9:$F$128,"Ja")))</x:f>
      </x:c>
      <x:c r="H740" s="88" t="str">
        <x:f>IF(C740="","",MIN(MAX(0,D740+E740-F740-G740),MAX(0,IF(MONATSBUDGET!$C$44="",0,MONATSBUDGET!$C$44)-SUM(F740:F759)-0)))</x:f>
      </x:c>
      <x:c r="I740" s="88" t="str">
        <x:f>IF(C740="","",MAX(0,ROUND(D740+E740-F740-G740-H740,2)))</x:f>
      </x:c>
      <x:c r="J740" s="88" t="str">
        <x:f>IF(C740="","",F740+G740+H740)</x:f>
      </x:c>
      <x:c r="K740" s="88" t="str">
        <x:f>IF(C740="","",MAX(0,SUMIFS(SONDERZAHLUNGEN!$E$9:$E$128,SONDERZAHLUNGEN!$B$9:$B$128,C740,SONDERZAHLUNGEN!$C$9:$C$128,A740,SONDERZAHLUNGEN!$H$9:$H$128,"OK",SONDERZAHLUNGEN!$F$9:$F$128,"Ja")-G740))</x:f>
      </x:c>
    </x:row>
    <x:row r="741" ht="19" customHeight="1">
      <x:c r="A741" s="90" t="n">
        <x:f>MONATSBUDGET!$A$44</x:f>
        <x:v>47331</x:v>
      </x:c>
      <x:c r="B741" t="n">
        <x:f>2</x:f>
        <x:v>2</x:v>
      </x:c>
      <x:c r="C741" t="str">
        <x:f>IF($N$10="","",$N$10)</x:f>
      </x:c>
      <x:c r="D741" s="88" t="str">
        <x:f>IF(C741="","",I721)</x:f>
      </x:c>
      <x:c r="E741" s="88" t="str">
        <x:f>IF(C741="","",ROUND(D741*$P$10/12,2))</x:f>
      </x:c>
      <x:c r="F741" s="88" t="str">
        <x:f>IF(C741="","",MIN(D741+E741,$Q$10))</x:f>
      </x:c>
      <x:c r="G741" s="88" t="str">
        <x:f>IF(C741="","",MIN(MAX(0,D741+E741-F741),SUMIFS(SONDERZAHLUNGEN!$E$9:$E$128,SONDERZAHLUNGEN!$B$9:$B$128,C741,SONDERZAHLUNGEN!$C$9:$C$128,A741,SONDERZAHLUNGEN!$H$9:$H$128,"OK",SONDERZAHLUNGEN!$F$9:$F$128,"Ja")))</x:f>
      </x:c>
      <x:c r="H741" s="88" t="str">
        <x:f>IF(C741="","",MIN(MAX(0,D741+E741-F741-G741),MAX(0,IF(MONATSBUDGET!$C$44="",0,MONATSBUDGET!$C$44)-SUM(F740:F759)-SUM(H740:H740))))</x:f>
      </x:c>
      <x:c r="I741" s="88" t="str">
        <x:f>IF(C741="","",MAX(0,ROUND(D741+E741-F741-G741-H741,2)))</x:f>
      </x:c>
      <x:c r="J741" s="88" t="str">
        <x:f>IF(C741="","",F741+G741+H741)</x:f>
      </x:c>
      <x:c r="K741" s="88" t="str">
        <x:f>IF(C741="","",MAX(0,SUMIFS(SONDERZAHLUNGEN!$E$9:$E$128,SONDERZAHLUNGEN!$B$9:$B$128,C741,SONDERZAHLUNGEN!$C$9:$C$128,A741,SONDERZAHLUNGEN!$H$9:$H$128,"OK",SONDERZAHLUNGEN!$F$9:$F$128,"Ja")-G741))</x:f>
      </x:c>
    </x:row>
    <x:row r="742" ht="19" customHeight="1">
      <x:c r="A742" s="90" t="n">
        <x:f>MONATSBUDGET!$A$44</x:f>
        <x:v>47331</x:v>
      </x:c>
      <x:c r="B742" t="n">
        <x:f>3</x:f>
        <x:v>3</x:v>
      </x:c>
      <x:c r="C742" t="str">
        <x:f>IF($N$11="","",$N$11)</x:f>
      </x:c>
      <x:c r="D742" s="88" t="str">
        <x:f>IF(C742="","",I722)</x:f>
      </x:c>
      <x:c r="E742" s="88" t="str">
        <x:f>IF(C742="","",ROUND(D742*$P$11/12,2))</x:f>
      </x:c>
      <x:c r="F742" s="88" t="str">
        <x:f>IF(C742="","",MIN(D742+E742,$Q$11))</x:f>
      </x:c>
      <x:c r="G742" s="88" t="str">
        <x:f>IF(C742="","",MIN(MAX(0,D742+E742-F742),SUMIFS(SONDERZAHLUNGEN!$E$9:$E$128,SONDERZAHLUNGEN!$B$9:$B$128,C742,SONDERZAHLUNGEN!$C$9:$C$128,A742,SONDERZAHLUNGEN!$H$9:$H$128,"OK",SONDERZAHLUNGEN!$F$9:$F$128,"Ja")))</x:f>
      </x:c>
      <x:c r="H742" s="88" t="str">
        <x:f>IF(C742="","",MIN(MAX(0,D742+E742-F742-G742),MAX(0,IF(MONATSBUDGET!$C$44="",0,MONATSBUDGET!$C$44)-SUM(F740:F759)-SUM(H740:H741))))</x:f>
      </x:c>
      <x:c r="I742" s="88" t="str">
        <x:f>IF(C742="","",MAX(0,ROUND(D742+E742-F742-G742-H742,2)))</x:f>
      </x:c>
      <x:c r="J742" s="88" t="str">
        <x:f>IF(C742="","",F742+G742+H742)</x:f>
      </x:c>
      <x:c r="K742" s="88" t="str">
        <x:f>IF(C742="","",MAX(0,SUMIFS(SONDERZAHLUNGEN!$E$9:$E$128,SONDERZAHLUNGEN!$B$9:$B$128,C742,SONDERZAHLUNGEN!$C$9:$C$128,A742,SONDERZAHLUNGEN!$H$9:$H$128,"OK",SONDERZAHLUNGEN!$F$9:$F$128,"Ja")-G742))</x:f>
      </x:c>
    </x:row>
    <x:row r="743" ht="19" customHeight="1">
      <x:c r="A743" s="90" t="n">
        <x:f>MONATSBUDGET!$A$44</x:f>
        <x:v>47331</x:v>
      </x:c>
      <x:c r="B743" t="n">
        <x:f>4</x:f>
        <x:v>4</x:v>
      </x:c>
      <x:c r="C743" t="str">
        <x:f>IF($N$12="","",$N$12)</x:f>
      </x:c>
      <x:c r="D743" s="88" t="str">
        <x:f>IF(C743="","",I723)</x:f>
      </x:c>
      <x:c r="E743" s="88" t="str">
        <x:f>IF(C743="","",ROUND(D743*$P$12/12,2))</x:f>
      </x:c>
      <x:c r="F743" s="88" t="str">
        <x:f>IF(C743="","",MIN(D743+E743,$Q$12))</x:f>
      </x:c>
      <x:c r="G743" s="88" t="str">
        <x:f>IF(C743="","",MIN(MAX(0,D743+E743-F743),SUMIFS(SONDERZAHLUNGEN!$E$9:$E$128,SONDERZAHLUNGEN!$B$9:$B$128,C743,SONDERZAHLUNGEN!$C$9:$C$128,A743,SONDERZAHLUNGEN!$H$9:$H$128,"OK",SONDERZAHLUNGEN!$F$9:$F$128,"Ja")))</x:f>
      </x:c>
      <x:c r="H743" s="88" t="str">
        <x:f>IF(C743="","",MIN(MAX(0,D743+E743-F743-G743),MAX(0,IF(MONATSBUDGET!$C$44="",0,MONATSBUDGET!$C$44)-SUM(F740:F759)-SUM(H740:H742))))</x:f>
      </x:c>
      <x:c r="I743" s="88" t="str">
        <x:f>IF(C743="","",MAX(0,ROUND(D743+E743-F743-G743-H743,2)))</x:f>
      </x:c>
      <x:c r="J743" s="88" t="str">
        <x:f>IF(C743="","",F743+G743+H743)</x:f>
      </x:c>
      <x:c r="K743" s="88" t="str">
        <x:f>IF(C743="","",MAX(0,SUMIFS(SONDERZAHLUNGEN!$E$9:$E$128,SONDERZAHLUNGEN!$B$9:$B$128,C743,SONDERZAHLUNGEN!$C$9:$C$128,A743,SONDERZAHLUNGEN!$H$9:$H$128,"OK",SONDERZAHLUNGEN!$F$9:$F$128,"Ja")-G743))</x:f>
      </x:c>
    </x:row>
    <x:row r="744" ht="19" customHeight="1">
      <x:c r="A744" s="90" t="n">
        <x:f>MONATSBUDGET!$A$44</x:f>
        <x:v>47331</x:v>
      </x:c>
      <x:c r="B744" t="n">
        <x:f>5</x:f>
        <x:v>5</x:v>
      </x:c>
      <x:c r="C744" t="str">
        <x:f>IF($N$13="","",$N$13)</x:f>
      </x:c>
      <x:c r="D744" s="88" t="str">
        <x:f>IF(C744="","",I724)</x:f>
      </x:c>
      <x:c r="E744" s="88" t="str">
        <x:f>IF(C744="","",ROUND(D744*$P$13/12,2))</x:f>
      </x:c>
      <x:c r="F744" s="88" t="str">
        <x:f>IF(C744="","",MIN(D744+E744,$Q$13))</x:f>
      </x:c>
      <x:c r="G744" s="88" t="str">
        <x:f>IF(C744="","",MIN(MAX(0,D744+E744-F744),SUMIFS(SONDERZAHLUNGEN!$E$9:$E$128,SONDERZAHLUNGEN!$B$9:$B$128,C744,SONDERZAHLUNGEN!$C$9:$C$128,A744,SONDERZAHLUNGEN!$H$9:$H$128,"OK",SONDERZAHLUNGEN!$F$9:$F$128,"Ja")))</x:f>
      </x:c>
      <x:c r="H744" s="88" t="str">
        <x:f>IF(C744="","",MIN(MAX(0,D744+E744-F744-G744),MAX(0,IF(MONATSBUDGET!$C$44="",0,MONATSBUDGET!$C$44)-SUM(F740:F759)-SUM(H740:H743))))</x:f>
      </x:c>
      <x:c r="I744" s="88" t="str">
        <x:f>IF(C744="","",MAX(0,ROUND(D744+E744-F744-G744-H744,2)))</x:f>
      </x:c>
      <x:c r="J744" s="88" t="str">
        <x:f>IF(C744="","",F744+G744+H744)</x:f>
      </x:c>
      <x:c r="K744" s="88" t="str">
        <x:f>IF(C744="","",MAX(0,SUMIFS(SONDERZAHLUNGEN!$E$9:$E$128,SONDERZAHLUNGEN!$B$9:$B$128,C744,SONDERZAHLUNGEN!$C$9:$C$128,A744,SONDERZAHLUNGEN!$H$9:$H$128,"OK",SONDERZAHLUNGEN!$F$9:$F$128,"Ja")-G744))</x:f>
      </x:c>
    </x:row>
    <x:row r="745" ht="19" customHeight="1">
      <x:c r="A745" s="90" t="n">
        <x:f>MONATSBUDGET!$A$44</x:f>
        <x:v>47331</x:v>
      </x:c>
      <x:c r="B745" t="n">
        <x:f>6</x:f>
        <x:v>6</x:v>
      </x:c>
      <x:c r="C745" t="str">
        <x:f>IF($N$14="","",$N$14)</x:f>
      </x:c>
      <x:c r="D745" s="88" t="str">
        <x:f>IF(C745="","",I725)</x:f>
      </x:c>
      <x:c r="E745" s="88" t="str">
        <x:f>IF(C745="","",ROUND(D745*$P$14/12,2))</x:f>
      </x:c>
      <x:c r="F745" s="88" t="str">
        <x:f>IF(C745="","",MIN(D745+E745,$Q$14))</x:f>
      </x:c>
      <x:c r="G745" s="88" t="str">
        <x:f>IF(C745="","",MIN(MAX(0,D745+E745-F745),SUMIFS(SONDERZAHLUNGEN!$E$9:$E$128,SONDERZAHLUNGEN!$B$9:$B$128,C745,SONDERZAHLUNGEN!$C$9:$C$128,A745,SONDERZAHLUNGEN!$H$9:$H$128,"OK",SONDERZAHLUNGEN!$F$9:$F$128,"Ja")))</x:f>
      </x:c>
      <x:c r="H745" s="88" t="str">
        <x:f>IF(C745="","",MIN(MAX(0,D745+E745-F745-G745),MAX(0,IF(MONATSBUDGET!$C$44="",0,MONATSBUDGET!$C$44)-SUM(F740:F759)-SUM(H740:H744))))</x:f>
      </x:c>
      <x:c r="I745" s="88" t="str">
        <x:f>IF(C745="","",MAX(0,ROUND(D745+E745-F745-G745-H745,2)))</x:f>
      </x:c>
      <x:c r="J745" s="88" t="str">
        <x:f>IF(C745="","",F745+G745+H745)</x:f>
      </x:c>
      <x:c r="K745" s="88" t="str">
        <x:f>IF(C745="","",MAX(0,SUMIFS(SONDERZAHLUNGEN!$E$9:$E$128,SONDERZAHLUNGEN!$B$9:$B$128,C745,SONDERZAHLUNGEN!$C$9:$C$128,A745,SONDERZAHLUNGEN!$H$9:$H$128,"OK",SONDERZAHLUNGEN!$F$9:$F$128,"Ja")-G745))</x:f>
      </x:c>
    </x:row>
    <x:row r="746" ht="19" customHeight="1">
      <x:c r="A746" s="90" t="n">
        <x:f>MONATSBUDGET!$A$44</x:f>
        <x:v>47331</x:v>
      </x:c>
      <x:c r="B746" t="n">
        <x:f>7</x:f>
        <x:v>7</x:v>
      </x:c>
      <x:c r="C746" t="str">
        <x:f>IF($N$15="","",$N$15)</x:f>
      </x:c>
      <x:c r="D746" s="88" t="str">
        <x:f>IF(C746="","",I726)</x:f>
      </x:c>
      <x:c r="E746" s="88" t="str">
        <x:f>IF(C746="","",ROUND(D746*$P$15/12,2))</x:f>
      </x:c>
      <x:c r="F746" s="88" t="str">
        <x:f>IF(C746="","",MIN(D746+E746,$Q$15))</x:f>
      </x:c>
      <x:c r="G746" s="88" t="str">
        <x:f>IF(C746="","",MIN(MAX(0,D746+E746-F746),SUMIFS(SONDERZAHLUNGEN!$E$9:$E$128,SONDERZAHLUNGEN!$B$9:$B$128,C746,SONDERZAHLUNGEN!$C$9:$C$128,A746,SONDERZAHLUNGEN!$H$9:$H$128,"OK",SONDERZAHLUNGEN!$F$9:$F$128,"Ja")))</x:f>
      </x:c>
      <x:c r="H746" s="88" t="str">
        <x:f>IF(C746="","",MIN(MAX(0,D746+E746-F746-G746),MAX(0,IF(MONATSBUDGET!$C$44="",0,MONATSBUDGET!$C$44)-SUM(F740:F759)-SUM(H740:H745))))</x:f>
      </x:c>
      <x:c r="I746" s="88" t="str">
        <x:f>IF(C746="","",MAX(0,ROUND(D746+E746-F746-G746-H746,2)))</x:f>
      </x:c>
      <x:c r="J746" s="88" t="str">
        <x:f>IF(C746="","",F746+G746+H746)</x:f>
      </x:c>
      <x:c r="K746" s="88" t="str">
        <x:f>IF(C746="","",MAX(0,SUMIFS(SONDERZAHLUNGEN!$E$9:$E$128,SONDERZAHLUNGEN!$B$9:$B$128,C746,SONDERZAHLUNGEN!$C$9:$C$128,A746,SONDERZAHLUNGEN!$H$9:$H$128,"OK",SONDERZAHLUNGEN!$F$9:$F$128,"Ja")-G746))</x:f>
      </x:c>
    </x:row>
    <x:row r="747" ht="19" customHeight="1">
      <x:c r="A747" s="90" t="n">
        <x:f>MONATSBUDGET!$A$44</x:f>
        <x:v>47331</x:v>
      </x:c>
      <x:c r="B747" t="n">
        <x:f>8</x:f>
        <x:v>8</x:v>
      </x:c>
      <x:c r="C747" t="str">
        <x:f>IF($N$16="","",$N$16)</x:f>
      </x:c>
      <x:c r="D747" s="88" t="str">
        <x:f>IF(C747="","",I727)</x:f>
      </x:c>
      <x:c r="E747" s="88" t="str">
        <x:f>IF(C747="","",ROUND(D747*$P$16/12,2))</x:f>
      </x:c>
      <x:c r="F747" s="88" t="str">
        <x:f>IF(C747="","",MIN(D747+E747,$Q$16))</x:f>
      </x:c>
      <x:c r="G747" s="88" t="str">
        <x:f>IF(C747="","",MIN(MAX(0,D747+E747-F747),SUMIFS(SONDERZAHLUNGEN!$E$9:$E$128,SONDERZAHLUNGEN!$B$9:$B$128,C747,SONDERZAHLUNGEN!$C$9:$C$128,A747,SONDERZAHLUNGEN!$H$9:$H$128,"OK",SONDERZAHLUNGEN!$F$9:$F$128,"Ja")))</x:f>
      </x:c>
      <x:c r="H747" s="88" t="str">
        <x:f>IF(C747="","",MIN(MAX(0,D747+E747-F747-G747),MAX(0,IF(MONATSBUDGET!$C$44="",0,MONATSBUDGET!$C$44)-SUM(F740:F759)-SUM(H740:H746))))</x:f>
      </x:c>
      <x:c r="I747" s="88" t="str">
        <x:f>IF(C747="","",MAX(0,ROUND(D747+E747-F747-G747-H747,2)))</x:f>
      </x:c>
      <x:c r="J747" s="88" t="str">
        <x:f>IF(C747="","",F747+G747+H747)</x:f>
      </x:c>
      <x:c r="K747" s="88" t="str">
        <x:f>IF(C747="","",MAX(0,SUMIFS(SONDERZAHLUNGEN!$E$9:$E$128,SONDERZAHLUNGEN!$B$9:$B$128,C747,SONDERZAHLUNGEN!$C$9:$C$128,A747,SONDERZAHLUNGEN!$H$9:$H$128,"OK",SONDERZAHLUNGEN!$F$9:$F$128,"Ja")-G747))</x:f>
      </x:c>
    </x:row>
    <x:row r="748" ht="19" customHeight="1">
      <x:c r="A748" s="90" t="n">
        <x:f>MONATSBUDGET!$A$44</x:f>
        <x:v>47331</x:v>
      </x:c>
      <x:c r="B748" t="n">
        <x:f>9</x:f>
        <x:v>9</x:v>
      </x:c>
      <x:c r="C748" t="str">
        <x:f>IF($N$17="","",$N$17)</x:f>
      </x:c>
      <x:c r="D748" s="88" t="str">
        <x:f>IF(C748="","",I728)</x:f>
      </x:c>
      <x:c r="E748" s="88" t="str">
        <x:f>IF(C748="","",ROUND(D748*$P$17/12,2))</x:f>
      </x:c>
      <x:c r="F748" s="88" t="str">
        <x:f>IF(C748="","",MIN(D748+E748,$Q$17))</x:f>
      </x:c>
      <x:c r="G748" s="88" t="str">
        <x:f>IF(C748="","",MIN(MAX(0,D748+E748-F748),SUMIFS(SONDERZAHLUNGEN!$E$9:$E$128,SONDERZAHLUNGEN!$B$9:$B$128,C748,SONDERZAHLUNGEN!$C$9:$C$128,A748,SONDERZAHLUNGEN!$H$9:$H$128,"OK",SONDERZAHLUNGEN!$F$9:$F$128,"Ja")))</x:f>
      </x:c>
      <x:c r="H748" s="88" t="str">
        <x:f>IF(C748="","",MIN(MAX(0,D748+E748-F748-G748),MAX(0,IF(MONATSBUDGET!$C$44="",0,MONATSBUDGET!$C$44)-SUM(F740:F759)-SUM(H740:H747))))</x:f>
      </x:c>
      <x:c r="I748" s="88" t="str">
        <x:f>IF(C748="","",MAX(0,ROUND(D748+E748-F748-G748-H748,2)))</x:f>
      </x:c>
      <x:c r="J748" s="88" t="str">
        <x:f>IF(C748="","",F748+G748+H748)</x:f>
      </x:c>
      <x:c r="K748" s="88" t="str">
        <x:f>IF(C748="","",MAX(0,SUMIFS(SONDERZAHLUNGEN!$E$9:$E$128,SONDERZAHLUNGEN!$B$9:$B$128,C748,SONDERZAHLUNGEN!$C$9:$C$128,A748,SONDERZAHLUNGEN!$H$9:$H$128,"OK",SONDERZAHLUNGEN!$F$9:$F$128,"Ja")-G748))</x:f>
      </x:c>
    </x:row>
    <x:row r="749" ht="19" customHeight="1">
      <x:c r="A749" s="90" t="n">
        <x:f>MONATSBUDGET!$A$44</x:f>
        <x:v>47331</x:v>
      </x:c>
      <x:c r="B749" t="n">
        <x:f>10</x:f>
        <x:v>10</x:v>
      </x:c>
      <x:c r="C749" t="str">
        <x:f>IF($N$18="","",$N$18)</x:f>
      </x:c>
      <x:c r="D749" s="88" t="str">
        <x:f>IF(C749="","",I729)</x:f>
      </x:c>
      <x:c r="E749" s="88" t="str">
        <x:f>IF(C749="","",ROUND(D749*$P$18/12,2))</x:f>
      </x:c>
      <x:c r="F749" s="88" t="str">
        <x:f>IF(C749="","",MIN(D749+E749,$Q$18))</x:f>
      </x:c>
      <x:c r="G749" s="88" t="str">
        <x:f>IF(C749="","",MIN(MAX(0,D749+E749-F749),SUMIFS(SONDERZAHLUNGEN!$E$9:$E$128,SONDERZAHLUNGEN!$B$9:$B$128,C749,SONDERZAHLUNGEN!$C$9:$C$128,A749,SONDERZAHLUNGEN!$H$9:$H$128,"OK",SONDERZAHLUNGEN!$F$9:$F$128,"Ja")))</x:f>
      </x:c>
      <x:c r="H749" s="88" t="str">
        <x:f>IF(C749="","",MIN(MAX(0,D749+E749-F749-G749),MAX(0,IF(MONATSBUDGET!$C$44="",0,MONATSBUDGET!$C$44)-SUM(F740:F759)-SUM(H740:H748))))</x:f>
      </x:c>
      <x:c r="I749" s="88" t="str">
        <x:f>IF(C749="","",MAX(0,ROUND(D749+E749-F749-G749-H749,2)))</x:f>
      </x:c>
      <x:c r="J749" s="88" t="str">
        <x:f>IF(C749="","",F749+G749+H749)</x:f>
      </x:c>
      <x:c r="K749" s="88" t="str">
        <x:f>IF(C749="","",MAX(0,SUMIFS(SONDERZAHLUNGEN!$E$9:$E$128,SONDERZAHLUNGEN!$B$9:$B$128,C749,SONDERZAHLUNGEN!$C$9:$C$128,A749,SONDERZAHLUNGEN!$H$9:$H$128,"OK",SONDERZAHLUNGEN!$F$9:$F$128,"Ja")-G749))</x:f>
      </x:c>
    </x:row>
    <x:row r="750" ht="19" customHeight="1">
      <x:c r="A750" s="90" t="n">
        <x:f>MONATSBUDGET!$A$44</x:f>
        <x:v>47331</x:v>
      </x:c>
      <x:c r="B750" t="n">
        <x:f>11</x:f>
        <x:v>11</x:v>
      </x:c>
      <x:c r="C750" t="str">
        <x:f>IF($N$19="","",$N$19)</x:f>
      </x:c>
      <x:c r="D750" s="88" t="str">
        <x:f>IF(C750="","",I730)</x:f>
      </x:c>
      <x:c r="E750" s="88" t="str">
        <x:f>IF(C750="","",ROUND(D750*$P$19/12,2))</x:f>
      </x:c>
      <x:c r="F750" s="88" t="str">
        <x:f>IF(C750="","",MIN(D750+E750,$Q$19))</x:f>
      </x:c>
      <x:c r="G750" s="88" t="str">
        <x:f>IF(C750="","",MIN(MAX(0,D750+E750-F750),SUMIFS(SONDERZAHLUNGEN!$E$9:$E$128,SONDERZAHLUNGEN!$B$9:$B$128,C750,SONDERZAHLUNGEN!$C$9:$C$128,A750,SONDERZAHLUNGEN!$H$9:$H$128,"OK",SONDERZAHLUNGEN!$F$9:$F$128,"Ja")))</x:f>
      </x:c>
      <x:c r="H750" s="88" t="str">
        <x:f>IF(C750="","",MIN(MAX(0,D750+E750-F750-G750),MAX(0,IF(MONATSBUDGET!$C$44="",0,MONATSBUDGET!$C$44)-SUM(F740:F759)-SUM(H740:H749))))</x:f>
      </x:c>
      <x:c r="I750" s="88" t="str">
        <x:f>IF(C750="","",MAX(0,ROUND(D750+E750-F750-G750-H750,2)))</x:f>
      </x:c>
      <x:c r="J750" s="88" t="str">
        <x:f>IF(C750="","",F750+G750+H750)</x:f>
      </x:c>
      <x:c r="K750" s="88" t="str">
        <x:f>IF(C750="","",MAX(0,SUMIFS(SONDERZAHLUNGEN!$E$9:$E$128,SONDERZAHLUNGEN!$B$9:$B$128,C750,SONDERZAHLUNGEN!$C$9:$C$128,A750,SONDERZAHLUNGEN!$H$9:$H$128,"OK",SONDERZAHLUNGEN!$F$9:$F$128,"Ja")-G750))</x:f>
      </x:c>
    </x:row>
    <x:row r="751" ht="19" customHeight="1">
      <x:c r="A751" s="90" t="n">
        <x:f>MONATSBUDGET!$A$44</x:f>
        <x:v>47331</x:v>
      </x:c>
      <x:c r="B751" t="n">
        <x:f>12</x:f>
        <x:v>12</x:v>
      </x:c>
      <x:c r="C751" t="str">
        <x:f>IF($N$20="","",$N$20)</x:f>
      </x:c>
      <x:c r="D751" s="88" t="str">
        <x:f>IF(C751="","",I731)</x:f>
      </x:c>
      <x:c r="E751" s="88" t="str">
        <x:f>IF(C751="","",ROUND(D751*$P$20/12,2))</x:f>
      </x:c>
      <x:c r="F751" s="88" t="str">
        <x:f>IF(C751="","",MIN(D751+E751,$Q$20))</x:f>
      </x:c>
      <x:c r="G751" s="88" t="str">
        <x:f>IF(C751="","",MIN(MAX(0,D751+E751-F751),SUMIFS(SONDERZAHLUNGEN!$E$9:$E$128,SONDERZAHLUNGEN!$B$9:$B$128,C751,SONDERZAHLUNGEN!$C$9:$C$128,A751,SONDERZAHLUNGEN!$H$9:$H$128,"OK",SONDERZAHLUNGEN!$F$9:$F$128,"Ja")))</x:f>
      </x:c>
      <x:c r="H751" s="88" t="str">
        <x:f>IF(C751="","",MIN(MAX(0,D751+E751-F751-G751),MAX(0,IF(MONATSBUDGET!$C$44="",0,MONATSBUDGET!$C$44)-SUM(F740:F759)-SUM(H740:H750))))</x:f>
      </x:c>
      <x:c r="I751" s="88" t="str">
        <x:f>IF(C751="","",MAX(0,ROUND(D751+E751-F751-G751-H751,2)))</x:f>
      </x:c>
      <x:c r="J751" s="88" t="str">
        <x:f>IF(C751="","",F751+G751+H751)</x:f>
      </x:c>
      <x:c r="K751" s="88" t="str">
        <x:f>IF(C751="","",MAX(0,SUMIFS(SONDERZAHLUNGEN!$E$9:$E$128,SONDERZAHLUNGEN!$B$9:$B$128,C751,SONDERZAHLUNGEN!$C$9:$C$128,A751,SONDERZAHLUNGEN!$H$9:$H$128,"OK",SONDERZAHLUNGEN!$F$9:$F$128,"Ja")-G751))</x:f>
      </x:c>
    </x:row>
    <x:row r="752" ht="19" customHeight="1">
      <x:c r="A752" s="90" t="n">
        <x:f>MONATSBUDGET!$A$44</x:f>
        <x:v>47331</x:v>
      </x:c>
      <x:c r="B752" t="n">
        <x:f>13</x:f>
        <x:v>13</x:v>
      </x:c>
      <x:c r="C752" t="str">
        <x:f>IF($N$21="","",$N$21)</x:f>
      </x:c>
      <x:c r="D752" s="88" t="str">
        <x:f>IF(C752="","",I732)</x:f>
      </x:c>
      <x:c r="E752" s="88" t="str">
        <x:f>IF(C752="","",ROUND(D752*$P$21/12,2))</x:f>
      </x:c>
      <x:c r="F752" s="88" t="str">
        <x:f>IF(C752="","",MIN(D752+E752,$Q$21))</x:f>
      </x:c>
      <x:c r="G752" s="88" t="str">
        <x:f>IF(C752="","",MIN(MAX(0,D752+E752-F752),SUMIFS(SONDERZAHLUNGEN!$E$9:$E$128,SONDERZAHLUNGEN!$B$9:$B$128,C752,SONDERZAHLUNGEN!$C$9:$C$128,A752,SONDERZAHLUNGEN!$H$9:$H$128,"OK",SONDERZAHLUNGEN!$F$9:$F$128,"Ja")))</x:f>
      </x:c>
      <x:c r="H752" s="88" t="str">
        <x:f>IF(C752="","",MIN(MAX(0,D752+E752-F752-G752),MAX(0,IF(MONATSBUDGET!$C$44="",0,MONATSBUDGET!$C$44)-SUM(F740:F759)-SUM(H740:H751))))</x:f>
      </x:c>
      <x:c r="I752" s="88" t="str">
        <x:f>IF(C752="","",MAX(0,ROUND(D752+E752-F752-G752-H752,2)))</x:f>
      </x:c>
      <x:c r="J752" s="88" t="str">
        <x:f>IF(C752="","",F752+G752+H752)</x:f>
      </x:c>
      <x:c r="K752" s="88" t="str">
        <x:f>IF(C752="","",MAX(0,SUMIFS(SONDERZAHLUNGEN!$E$9:$E$128,SONDERZAHLUNGEN!$B$9:$B$128,C752,SONDERZAHLUNGEN!$C$9:$C$128,A752,SONDERZAHLUNGEN!$H$9:$H$128,"OK",SONDERZAHLUNGEN!$F$9:$F$128,"Ja")-G752))</x:f>
      </x:c>
    </x:row>
    <x:row r="753" ht="19" customHeight="1">
      <x:c r="A753" s="90" t="n">
        <x:f>MONATSBUDGET!$A$44</x:f>
        <x:v>47331</x:v>
      </x:c>
      <x:c r="B753" t="n">
        <x:f>14</x:f>
        <x:v>14</x:v>
      </x:c>
      <x:c r="C753" t="str">
        <x:f>IF($N$22="","",$N$22)</x:f>
      </x:c>
      <x:c r="D753" s="88" t="str">
        <x:f>IF(C753="","",I733)</x:f>
      </x:c>
      <x:c r="E753" s="88" t="str">
        <x:f>IF(C753="","",ROUND(D753*$P$22/12,2))</x:f>
      </x:c>
      <x:c r="F753" s="88" t="str">
        <x:f>IF(C753="","",MIN(D753+E753,$Q$22))</x:f>
      </x:c>
      <x:c r="G753" s="88" t="str">
        <x:f>IF(C753="","",MIN(MAX(0,D753+E753-F753),SUMIFS(SONDERZAHLUNGEN!$E$9:$E$128,SONDERZAHLUNGEN!$B$9:$B$128,C753,SONDERZAHLUNGEN!$C$9:$C$128,A753,SONDERZAHLUNGEN!$H$9:$H$128,"OK",SONDERZAHLUNGEN!$F$9:$F$128,"Ja")))</x:f>
      </x:c>
      <x:c r="H753" s="88" t="str">
        <x:f>IF(C753="","",MIN(MAX(0,D753+E753-F753-G753),MAX(0,IF(MONATSBUDGET!$C$44="",0,MONATSBUDGET!$C$44)-SUM(F740:F759)-SUM(H740:H752))))</x:f>
      </x:c>
      <x:c r="I753" s="88" t="str">
        <x:f>IF(C753="","",MAX(0,ROUND(D753+E753-F753-G753-H753,2)))</x:f>
      </x:c>
      <x:c r="J753" s="88" t="str">
        <x:f>IF(C753="","",F753+G753+H753)</x:f>
      </x:c>
      <x:c r="K753" s="88" t="str">
        <x:f>IF(C753="","",MAX(0,SUMIFS(SONDERZAHLUNGEN!$E$9:$E$128,SONDERZAHLUNGEN!$B$9:$B$128,C753,SONDERZAHLUNGEN!$C$9:$C$128,A753,SONDERZAHLUNGEN!$H$9:$H$128,"OK",SONDERZAHLUNGEN!$F$9:$F$128,"Ja")-G753))</x:f>
      </x:c>
    </x:row>
    <x:row r="754" ht="19" customHeight="1">
      <x:c r="A754" s="90" t="n">
        <x:f>MONATSBUDGET!$A$44</x:f>
        <x:v>47331</x:v>
      </x:c>
      <x:c r="B754" t="n">
        <x:f>15</x:f>
        <x:v>15</x:v>
      </x:c>
      <x:c r="C754" t="str">
        <x:f>IF($N$23="","",$N$23)</x:f>
      </x:c>
      <x:c r="D754" s="88" t="str">
        <x:f>IF(C754="","",I734)</x:f>
      </x:c>
      <x:c r="E754" s="88" t="str">
        <x:f>IF(C754="","",ROUND(D754*$P$23/12,2))</x:f>
      </x:c>
      <x:c r="F754" s="88" t="str">
        <x:f>IF(C754="","",MIN(D754+E754,$Q$23))</x:f>
      </x:c>
      <x:c r="G754" s="88" t="str">
        <x:f>IF(C754="","",MIN(MAX(0,D754+E754-F754),SUMIFS(SONDERZAHLUNGEN!$E$9:$E$128,SONDERZAHLUNGEN!$B$9:$B$128,C754,SONDERZAHLUNGEN!$C$9:$C$128,A754,SONDERZAHLUNGEN!$H$9:$H$128,"OK",SONDERZAHLUNGEN!$F$9:$F$128,"Ja")))</x:f>
      </x:c>
      <x:c r="H754" s="88" t="str">
        <x:f>IF(C754="","",MIN(MAX(0,D754+E754-F754-G754),MAX(0,IF(MONATSBUDGET!$C$44="",0,MONATSBUDGET!$C$44)-SUM(F740:F759)-SUM(H740:H753))))</x:f>
      </x:c>
      <x:c r="I754" s="88" t="str">
        <x:f>IF(C754="","",MAX(0,ROUND(D754+E754-F754-G754-H754,2)))</x:f>
      </x:c>
      <x:c r="J754" s="88" t="str">
        <x:f>IF(C754="","",F754+G754+H754)</x:f>
      </x:c>
      <x:c r="K754" s="88" t="str">
        <x:f>IF(C754="","",MAX(0,SUMIFS(SONDERZAHLUNGEN!$E$9:$E$128,SONDERZAHLUNGEN!$B$9:$B$128,C754,SONDERZAHLUNGEN!$C$9:$C$128,A754,SONDERZAHLUNGEN!$H$9:$H$128,"OK",SONDERZAHLUNGEN!$F$9:$F$128,"Ja")-G754))</x:f>
      </x:c>
    </x:row>
    <x:row r="755" ht="19" customHeight="1">
      <x:c r="A755" s="90" t="n">
        <x:f>MONATSBUDGET!$A$44</x:f>
        <x:v>47331</x:v>
      </x:c>
      <x:c r="B755" t="n">
        <x:f>16</x:f>
        <x:v>16</x:v>
      </x:c>
      <x:c r="C755" t="str">
        <x:f>IF($N$24="","",$N$24)</x:f>
      </x:c>
      <x:c r="D755" s="88" t="str">
        <x:f>IF(C755="","",I735)</x:f>
      </x:c>
      <x:c r="E755" s="88" t="str">
        <x:f>IF(C755="","",ROUND(D755*$P$24/12,2))</x:f>
      </x:c>
      <x:c r="F755" s="88" t="str">
        <x:f>IF(C755="","",MIN(D755+E755,$Q$24))</x:f>
      </x:c>
      <x:c r="G755" s="88" t="str">
        <x:f>IF(C755="","",MIN(MAX(0,D755+E755-F755),SUMIFS(SONDERZAHLUNGEN!$E$9:$E$128,SONDERZAHLUNGEN!$B$9:$B$128,C755,SONDERZAHLUNGEN!$C$9:$C$128,A755,SONDERZAHLUNGEN!$H$9:$H$128,"OK",SONDERZAHLUNGEN!$F$9:$F$128,"Ja")))</x:f>
      </x:c>
      <x:c r="H755" s="88" t="str">
        <x:f>IF(C755="","",MIN(MAX(0,D755+E755-F755-G755),MAX(0,IF(MONATSBUDGET!$C$44="",0,MONATSBUDGET!$C$44)-SUM(F740:F759)-SUM(H740:H754))))</x:f>
      </x:c>
      <x:c r="I755" s="88" t="str">
        <x:f>IF(C755="","",MAX(0,ROUND(D755+E755-F755-G755-H755,2)))</x:f>
      </x:c>
      <x:c r="J755" s="88" t="str">
        <x:f>IF(C755="","",F755+G755+H755)</x:f>
      </x:c>
      <x:c r="K755" s="88" t="str">
        <x:f>IF(C755="","",MAX(0,SUMIFS(SONDERZAHLUNGEN!$E$9:$E$128,SONDERZAHLUNGEN!$B$9:$B$128,C755,SONDERZAHLUNGEN!$C$9:$C$128,A755,SONDERZAHLUNGEN!$H$9:$H$128,"OK",SONDERZAHLUNGEN!$F$9:$F$128,"Ja")-G755))</x:f>
      </x:c>
    </x:row>
    <x:row r="756" ht="19" customHeight="1">
      <x:c r="A756" s="90" t="n">
        <x:f>MONATSBUDGET!$A$44</x:f>
        <x:v>47331</x:v>
      </x:c>
      <x:c r="B756" t="n">
        <x:f>17</x:f>
        <x:v>17</x:v>
      </x:c>
      <x:c r="C756" t="str">
        <x:f>IF($N$25="","",$N$25)</x:f>
      </x:c>
      <x:c r="D756" s="88" t="str">
        <x:f>IF(C756="","",I736)</x:f>
      </x:c>
      <x:c r="E756" s="88" t="str">
        <x:f>IF(C756="","",ROUND(D756*$P$25/12,2))</x:f>
      </x:c>
      <x:c r="F756" s="88" t="str">
        <x:f>IF(C756="","",MIN(D756+E756,$Q$25))</x:f>
      </x:c>
      <x:c r="G756" s="88" t="str">
        <x:f>IF(C756="","",MIN(MAX(0,D756+E756-F756),SUMIFS(SONDERZAHLUNGEN!$E$9:$E$128,SONDERZAHLUNGEN!$B$9:$B$128,C756,SONDERZAHLUNGEN!$C$9:$C$128,A756,SONDERZAHLUNGEN!$H$9:$H$128,"OK",SONDERZAHLUNGEN!$F$9:$F$128,"Ja")))</x:f>
      </x:c>
      <x:c r="H756" s="88" t="str">
        <x:f>IF(C756="","",MIN(MAX(0,D756+E756-F756-G756),MAX(0,IF(MONATSBUDGET!$C$44="",0,MONATSBUDGET!$C$44)-SUM(F740:F759)-SUM(H740:H755))))</x:f>
      </x:c>
      <x:c r="I756" s="88" t="str">
        <x:f>IF(C756="","",MAX(0,ROUND(D756+E756-F756-G756-H756,2)))</x:f>
      </x:c>
      <x:c r="J756" s="88" t="str">
        <x:f>IF(C756="","",F756+G756+H756)</x:f>
      </x:c>
      <x:c r="K756" s="88" t="str">
        <x:f>IF(C756="","",MAX(0,SUMIFS(SONDERZAHLUNGEN!$E$9:$E$128,SONDERZAHLUNGEN!$B$9:$B$128,C756,SONDERZAHLUNGEN!$C$9:$C$128,A756,SONDERZAHLUNGEN!$H$9:$H$128,"OK",SONDERZAHLUNGEN!$F$9:$F$128,"Ja")-G756))</x:f>
      </x:c>
    </x:row>
    <x:row r="757" ht="19" customHeight="1">
      <x:c r="A757" s="90" t="n">
        <x:f>MONATSBUDGET!$A$44</x:f>
        <x:v>47331</x:v>
      </x:c>
      <x:c r="B757" t="n">
        <x:f>18</x:f>
        <x:v>18</x:v>
      </x:c>
      <x:c r="C757" t="str">
        <x:f>IF($N$26="","",$N$26)</x:f>
      </x:c>
      <x:c r="D757" s="88" t="str">
        <x:f>IF(C757="","",I737)</x:f>
      </x:c>
      <x:c r="E757" s="88" t="str">
        <x:f>IF(C757="","",ROUND(D757*$P$26/12,2))</x:f>
      </x:c>
      <x:c r="F757" s="88" t="str">
        <x:f>IF(C757="","",MIN(D757+E757,$Q$26))</x:f>
      </x:c>
      <x:c r="G757" s="88" t="str">
        <x:f>IF(C757="","",MIN(MAX(0,D757+E757-F757),SUMIFS(SONDERZAHLUNGEN!$E$9:$E$128,SONDERZAHLUNGEN!$B$9:$B$128,C757,SONDERZAHLUNGEN!$C$9:$C$128,A757,SONDERZAHLUNGEN!$H$9:$H$128,"OK",SONDERZAHLUNGEN!$F$9:$F$128,"Ja")))</x:f>
      </x:c>
      <x:c r="H757" s="88" t="str">
        <x:f>IF(C757="","",MIN(MAX(0,D757+E757-F757-G757),MAX(0,IF(MONATSBUDGET!$C$44="",0,MONATSBUDGET!$C$44)-SUM(F740:F759)-SUM(H740:H756))))</x:f>
      </x:c>
      <x:c r="I757" s="88" t="str">
        <x:f>IF(C757="","",MAX(0,ROUND(D757+E757-F757-G757-H757,2)))</x:f>
      </x:c>
      <x:c r="J757" s="88" t="str">
        <x:f>IF(C757="","",F757+G757+H757)</x:f>
      </x:c>
      <x:c r="K757" s="88" t="str">
        <x:f>IF(C757="","",MAX(0,SUMIFS(SONDERZAHLUNGEN!$E$9:$E$128,SONDERZAHLUNGEN!$B$9:$B$128,C757,SONDERZAHLUNGEN!$C$9:$C$128,A757,SONDERZAHLUNGEN!$H$9:$H$128,"OK",SONDERZAHLUNGEN!$F$9:$F$128,"Ja")-G757))</x:f>
      </x:c>
    </x:row>
    <x:row r="758" ht="19" customHeight="1">
      <x:c r="A758" s="90" t="n">
        <x:f>MONATSBUDGET!$A$44</x:f>
        <x:v>47331</x:v>
      </x:c>
      <x:c r="B758" t="n">
        <x:f>19</x:f>
        <x:v>19</x:v>
      </x:c>
      <x:c r="C758" t="str">
        <x:f>IF($N$27="","",$N$27)</x:f>
      </x:c>
      <x:c r="D758" s="88" t="str">
        <x:f>IF(C758="","",I738)</x:f>
      </x:c>
      <x:c r="E758" s="88" t="str">
        <x:f>IF(C758="","",ROUND(D758*$P$27/12,2))</x:f>
      </x:c>
      <x:c r="F758" s="88" t="str">
        <x:f>IF(C758="","",MIN(D758+E758,$Q$27))</x:f>
      </x:c>
      <x:c r="G758" s="88" t="str">
        <x:f>IF(C758="","",MIN(MAX(0,D758+E758-F758),SUMIFS(SONDERZAHLUNGEN!$E$9:$E$128,SONDERZAHLUNGEN!$B$9:$B$128,C758,SONDERZAHLUNGEN!$C$9:$C$128,A758,SONDERZAHLUNGEN!$H$9:$H$128,"OK",SONDERZAHLUNGEN!$F$9:$F$128,"Ja")))</x:f>
      </x:c>
      <x:c r="H758" s="88" t="str">
        <x:f>IF(C758="","",MIN(MAX(0,D758+E758-F758-G758),MAX(0,IF(MONATSBUDGET!$C$44="",0,MONATSBUDGET!$C$44)-SUM(F740:F759)-SUM(H740:H757))))</x:f>
      </x:c>
      <x:c r="I758" s="88" t="str">
        <x:f>IF(C758="","",MAX(0,ROUND(D758+E758-F758-G758-H758,2)))</x:f>
      </x:c>
      <x:c r="J758" s="88" t="str">
        <x:f>IF(C758="","",F758+G758+H758)</x:f>
      </x:c>
      <x:c r="K758" s="88" t="str">
        <x:f>IF(C758="","",MAX(0,SUMIFS(SONDERZAHLUNGEN!$E$9:$E$128,SONDERZAHLUNGEN!$B$9:$B$128,C758,SONDERZAHLUNGEN!$C$9:$C$128,A758,SONDERZAHLUNGEN!$H$9:$H$128,"OK",SONDERZAHLUNGEN!$F$9:$F$128,"Ja")-G758))</x:f>
      </x:c>
    </x:row>
    <x:row r="759" ht="19" customHeight="1">
      <x:c r="A759" s="90" t="n">
        <x:f>MONATSBUDGET!$A$44</x:f>
        <x:v>47331</x:v>
      </x:c>
      <x:c r="B759" t="n">
        <x:f>20</x:f>
        <x:v>20</x:v>
      </x:c>
      <x:c r="C759" t="str">
        <x:f>IF($N$28="","",$N$28)</x:f>
      </x:c>
      <x:c r="D759" s="88" t="str">
        <x:f>IF(C759="","",I739)</x:f>
      </x:c>
      <x:c r="E759" s="88" t="str">
        <x:f>IF(C759="","",ROUND(D759*$P$28/12,2))</x:f>
      </x:c>
      <x:c r="F759" s="88" t="str">
        <x:f>IF(C759="","",MIN(D759+E759,$Q$28))</x:f>
      </x:c>
      <x:c r="G759" s="88" t="str">
        <x:f>IF(C759="","",MIN(MAX(0,D759+E759-F759),SUMIFS(SONDERZAHLUNGEN!$E$9:$E$128,SONDERZAHLUNGEN!$B$9:$B$128,C759,SONDERZAHLUNGEN!$C$9:$C$128,A759,SONDERZAHLUNGEN!$H$9:$H$128,"OK",SONDERZAHLUNGEN!$F$9:$F$128,"Ja")))</x:f>
      </x:c>
      <x:c r="H759" s="88" t="str">
        <x:f>IF(C759="","",MIN(MAX(0,D759+E759-F759-G759),MAX(0,IF(MONATSBUDGET!$C$44="",0,MONATSBUDGET!$C$44)-SUM(F740:F759)-SUM(H740:H758))))</x:f>
      </x:c>
      <x:c r="I759" s="88" t="str">
        <x:f>IF(C759="","",MAX(0,ROUND(D759+E759-F759-G759-H759,2)))</x:f>
      </x:c>
      <x:c r="J759" s="88" t="str">
        <x:f>IF(C759="","",F759+G759+H759)</x:f>
      </x:c>
      <x:c r="K759" s="88" t="str">
        <x:f>IF(C759="","",MAX(0,SUMIFS(SONDERZAHLUNGEN!$E$9:$E$128,SONDERZAHLUNGEN!$B$9:$B$128,C759,SONDERZAHLUNGEN!$C$9:$C$128,A759,SONDERZAHLUNGEN!$H$9:$H$128,"OK",SONDERZAHLUNGEN!$F$9:$F$128,"Ja")-G759))</x:f>
      </x:c>
    </x:row>
    <x:row r="760" ht="19" customHeight="1">
      <x:c r="A760" s="90" t="n">
        <x:f>MONATSBUDGET!$A$45</x:f>
        <x:v>47362</x:v>
      </x:c>
      <x:c r="B760" t="n">
        <x:f>1</x:f>
        <x:v>1</x:v>
      </x:c>
      <x:c r="C760" t="str">
        <x:f>IF($N$9="","",$N$9)</x:f>
      </x:c>
      <x:c r="D760" s="88" t="str">
        <x:f>IF(C760="","",I740)</x:f>
      </x:c>
      <x:c r="E760" s="88" t="str">
        <x:f>IF(C760="","",ROUND(D760*$P$9/12,2))</x:f>
      </x:c>
      <x:c r="F760" s="88" t="str">
        <x:f>IF(C760="","",MIN(D760+E760,$Q$9))</x:f>
      </x:c>
      <x:c r="G760" s="88" t="str">
        <x:f>IF(C760="","",MIN(MAX(0,D760+E760-F760),SUMIFS(SONDERZAHLUNGEN!$E$9:$E$128,SONDERZAHLUNGEN!$B$9:$B$128,C760,SONDERZAHLUNGEN!$C$9:$C$128,A760,SONDERZAHLUNGEN!$H$9:$H$128,"OK",SONDERZAHLUNGEN!$F$9:$F$128,"Ja")))</x:f>
      </x:c>
      <x:c r="H760" s="88" t="str">
        <x:f>IF(C760="","",MIN(MAX(0,D760+E760-F760-G760),MAX(0,IF(MONATSBUDGET!$C$45="",0,MONATSBUDGET!$C$45)-SUM(F760:F779)-0)))</x:f>
      </x:c>
      <x:c r="I760" s="88" t="str">
        <x:f>IF(C760="","",MAX(0,ROUND(D760+E760-F760-G760-H760,2)))</x:f>
      </x:c>
      <x:c r="J760" s="88" t="str">
        <x:f>IF(C760="","",F760+G760+H760)</x:f>
      </x:c>
      <x:c r="K760" s="88" t="str">
        <x:f>IF(C760="","",MAX(0,SUMIFS(SONDERZAHLUNGEN!$E$9:$E$128,SONDERZAHLUNGEN!$B$9:$B$128,C760,SONDERZAHLUNGEN!$C$9:$C$128,A760,SONDERZAHLUNGEN!$H$9:$H$128,"OK",SONDERZAHLUNGEN!$F$9:$F$128,"Ja")-G760))</x:f>
      </x:c>
    </x:row>
    <x:row r="761" ht="19" customHeight="1">
      <x:c r="A761" s="90" t="n">
        <x:f>MONATSBUDGET!$A$45</x:f>
        <x:v>47362</x:v>
      </x:c>
      <x:c r="B761" t="n">
        <x:f>2</x:f>
        <x:v>2</x:v>
      </x:c>
      <x:c r="C761" t="str">
        <x:f>IF($N$10="","",$N$10)</x:f>
      </x:c>
      <x:c r="D761" s="88" t="str">
        <x:f>IF(C761="","",I741)</x:f>
      </x:c>
      <x:c r="E761" s="88" t="str">
        <x:f>IF(C761="","",ROUND(D761*$P$10/12,2))</x:f>
      </x:c>
      <x:c r="F761" s="88" t="str">
        <x:f>IF(C761="","",MIN(D761+E761,$Q$10))</x:f>
      </x:c>
      <x:c r="G761" s="88" t="str">
        <x:f>IF(C761="","",MIN(MAX(0,D761+E761-F761),SUMIFS(SONDERZAHLUNGEN!$E$9:$E$128,SONDERZAHLUNGEN!$B$9:$B$128,C761,SONDERZAHLUNGEN!$C$9:$C$128,A761,SONDERZAHLUNGEN!$H$9:$H$128,"OK",SONDERZAHLUNGEN!$F$9:$F$128,"Ja")))</x:f>
      </x:c>
      <x:c r="H761" s="88" t="str">
        <x:f>IF(C761="","",MIN(MAX(0,D761+E761-F761-G761),MAX(0,IF(MONATSBUDGET!$C$45="",0,MONATSBUDGET!$C$45)-SUM(F760:F779)-SUM(H760:H760))))</x:f>
      </x:c>
      <x:c r="I761" s="88" t="str">
        <x:f>IF(C761="","",MAX(0,ROUND(D761+E761-F761-G761-H761,2)))</x:f>
      </x:c>
      <x:c r="J761" s="88" t="str">
        <x:f>IF(C761="","",F761+G761+H761)</x:f>
      </x:c>
      <x:c r="K761" s="88" t="str">
        <x:f>IF(C761="","",MAX(0,SUMIFS(SONDERZAHLUNGEN!$E$9:$E$128,SONDERZAHLUNGEN!$B$9:$B$128,C761,SONDERZAHLUNGEN!$C$9:$C$128,A761,SONDERZAHLUNGEN!$H$9:$H$128,"OK",SONDERZAHLUNGEN!$F$9:$F$128,"Ja")-G761))</x:f>
      </x:c>
    </x:row>
    <x:row r="762" ht="19" customHeight="1">
      <x:c r="A762" s="90" t="n">
        <x:f>MONATSBUDGET!$A$45</x:f>
        <x:v>47362</x:v>
      </x:c>
      <x:c r="B762" t="n">
        <x:f>3</x:f>
        <x:v>3</x:v>
      </x:c>
      <x:c r="C762" t="str">
        <x:f>IF($N$11="","",$N$11)</x:f>
      </x:c>
      <x:c r="D762" s="88" t="str">
        <x:f>IF(C762="","",I742)</x:f>
      </x:c>
      <x:c r="E762" s="88" t="str">
        <x:f>IF(C762="","",ROUND(D762*$P$11/12,2))</x:f>
      </x:c>
      <x:c r="F762" s="88" t="str">
        <x:f>IF(C762="","",MIN(D762+E762,$Q$11))</x:f>
      </x:c>
      <x:c r="G762" s="88" t="str">
        <x:f>IF(C762="","",MIN(MAX(0,D762+E762-F762),SUMIFS(SONDERZAHLUNGEN!$E$9:$E$128,SONDERZAHLUNGEN!$B$9:$B$128,C762,SONDERZAHLUNGEN!$C$9:$C$128,A762,SONDERZAHLUNGEN!$H$9:$H$128,"OK",SONDERZAHLUNGEN!$F$9:$F$128,"Ja")))</x:f>
      </x:c>
      <x:c r="H762" s="88" t="str">
        <x:f>IF(C762="","",MIN(MAX(0,D762+E762-F762-G762),MAX(0,IF(MONATSBUDGET!$C$45="",0,MONATSBUDGET!$C$45)-SUM(F760:F779)-SUM(H760:H761))))</x:f>
      </x:c>
      <x:c r="I762" s="88" t="str">
        <x:f>IF(C762="","",MAX(0,ROUND(D762+E762-F762-G762-H762,2)))</x:f>
      </x:c>
      <x:c r="J762" s="88" t="str">
        <x:f>IF(C762="","",F762+G762+H762)</x:f>
      </x:c>
      <x:c r="K762" s="88" t="str">
        <x:f>IF(C762="","",MAX(0,SUMIFS(SONDERZAHLUNGEN!$E$9:$E$128,SONDERZAHLUNGEN!$B$9:$B$128,C762,SONDERZAHLUNGEN!$C$9:$C$128,A762,SONDERZAHLUNGEN!$H$9:$H$128,"OK",SONDERZAHLUNGEN!$F$9:$F$128,"Ja")-G762))</x:f>
      </x:c>
    </x:row>
    <x:row r="763" ht="19" customHeight="1">
      <x:c r="A763" s="90" t="n">
        <x:f>MONATSBUDGET!$A$45</x:f>
        <x:v>47362</x:v>
      </x:c>
      <x:c r="B763" t="n">
        <x:f>4</x:f>
        <x:v>4</x:v>
      </x:c>
      <x:c r="C763" t="str">
        <x:f>IF($N$12="","",$N$12)</x:f>
      </x:c>
      <x:c r="D763" s="88" t="str">
        <x:f>IF(C763="","",I743)</x:f>
      </x:c>
      <x:c r="E763" s="88" t="str">
        <x:f>IF(C763="","",ROUND(D763*$P$12/12,2))</x:f>
      </x:c>
      <x:c r="F763" s="88" t="str">
        <x:f>IF(C763="","",MIN(D763+E763,$Q$12))</x:f>
      </x:c>
      <x:c r="G763" s="88" t="str">
        <x:f>IF(C763="","",MIN(MAX(0,D763+E763-F763),SUMIFS(SONDERZAHLUNGEN!$E$9:$E$128,SONDERZAHLUNGEN!$B$9:$B$128,C763,SONDERZAHLUNGEN!$C$9:$C$128,A763,SONDERZAHLUNGEN!$H$9:$H$128,"OK",SONDERZAHLUNGEN!$F$9:$F$128,"Ja")))</x:f>
      </x:c>
      <x:c r="H763" s="88" t="str">
        <x:f>IF(C763="","",MIN(MAX(0,D763+E763-F763-G763),MAX(0,IF(MONATSBUDGET!$C$45="",0,MONATSBUDGET!$C$45)-SUM(F760:F779)-SUM(H760:H762))))</x:f>
      </x:c>
      <x:c r="I763" s="88" t="str">
        <x:f>IF(C763="","",MAX(0,ROUND(D763+E763-F763-G763-H763,2)))</x:f>
      </x:c>
      <x:c r="J763" s="88" t="str">
        <x:f>IF(C763="","",F763+G763+H763)</x:f>
      </x:c>
      <x:c r="K763" s="88" t="str">
        <x:f>IF(C763="","",MAX(0,SUMIFS(SONDERZAHLUNGEN!$E$9:$E$128,SONDERZAHLUNGEN!$B$9:$B$128,C763,SONDERZAHLUNGEN!$C$9:$C$128,A763,SONDERZAHLUNGEN!$H$9:$H$128,"OK",SONDERZAHLUNGEN!$F$9:$F$128,"Ja")-G763))</x:f>
      </x:c>
    </x:row>
    <x:row r="764" ht="19" customHeight="1">
      <x:c r="A764" s="90" t="n">
        <x:f>MONATSBUDGET!$A$45</x:f>
        <x:v>47362</x:v>
      </x:c>
      <x:c r="B764" t="n">
        <x:f>5</x:f>
        <x:v>5</x:v>
      </x:c>
      <x:c r="C764" t="str">
        <x:f>IF($N$13="","",$N$13)</x:f>
      </x:c>
      <x:c r="D764" s="88" t="str">
        <x:f>IF(C764="","",I744)</x:f>
      </x:c>
      <x:c r="E764" s="88" t="str">
        <x:f>IF(C764="","",ROUND(D764*$P$13/12,2))</x:f>
      </x:c>
      <x:c r="F764" s="88" t="str">
        <x:f>IF(C764="","",MIN(D764+E764,$Q$13))</x:f>
      </x:c>
      <x:c r="G764" s="88" t="str">
        <x:f>IF(C764="","",MIN(MAX(0,D764+E764-F764),SUMIFS(SONDERZAHLUNGEN!$E$9:$E$128,SONDERZAHLUNGEN!$B$9:$B$128,C764,SONDERZAHLUNGEN!$C$9:$C$128,A764,SONDERZAHLUNGEN!$H$9:$H$128,"OK",SONDERZAHLUNGEN!$F$9:$F$128,"Ja")))</x:f>
      </x:c>
      <x:c r="H764" s="88" t="str">
        <x:f>IF(C764="","",MIN(MAX(0,D764+E764-F764-G764),MAX(0,IF(MONATSBUDGET!$C$45="",0,MONATSBUDGET!$C$45)-SUM(F760:F779)-SUM(H760:H763))))</x:f>
      </x:c>
      <x:c r="I764" s="88" t="str">
        <x:f>IF(C764="","",MAX(0,ROUND(D764+E764-F764-G764-H764,2)))</x:f>
      </x:c>
      <x:c r="J764" s="88" t="str">
        <x:f>IF(C764="","",F764+G764+H764)</x:f>
      </x:c>
      <x:c r="K764" s="88" t="str">
        <x:f>IF(C764="","",MAX(0,SUMIFS(SONDERZAHLUNGEN!$E$9:$E$128,SONDERZAHLUNGEN!$B$9:$B$128,C764,SONDERZAHLUNGEN!$C$9:$C$128,A764,SONDERZAHLUNGEN!$H$9:$H$128,"OK",SONDERZAHLUNGEN!$F$9:$F$128,"Ja")-G764))</x:f>
      </x:c>
    </x:row>
    <x:row r="765" ht="19" customHeight="1">
      <x:c r="A765" s="90" t="n">
        <x:f>MONATSBUDGET!$A$45</x:f>
        <x:v>47362</x:v>
      </x:c>
      <x:c r="B765" t="n">
        <x:f>6</x:f>
        <x:v>6</x:v>
      </x:c>
      <x:c r="C765" t="str">
        <x:f>IF($N$14="","",$N$14)</x:f>
      </x:c>
      <x:c r="D765" s="88" t="str">
        <x:f>IF(C765="","",I745)</x:f>
      </x:c>
      <x:c r="E765" s="88" t="str">
        <x:f>IF(C765="","",ROUND(D765*$P$14/12,2))</x:f>
      </x:c>
      <x:c r="F765" s="88" t="str">
        <x:f>IF(C765="","",MIN(D765+E765,$Q$14))</x:f>
      </x:c>
      <x:c r="G765" s="88" t="str">
        <x:f>IF(C765="","",MIN(MAX(0,D765+E765-F765),SUMIFS(SONDERZAHLUNGEN!$E$9:$E$128,SONDERZAHLUNGEN!$B$9:$B$128,C765,SONDERZAHLUNGEN!$C$9:$C$128,A765,SONDERZAHLUNGEN!$H$9:$H$128,"OK",SONDERZAHLUNGEN!$F$9:$F$128,"Ja")))</x:f>
      </x:c>
      <x:c r="H765" s="88" t="str">
        <x:f>IF(C765="","",MIN(MAX(0,D765+E765-F765-G765),MAX(0,IF(MONATSBUDGET!$C$45="",0,MONATSBUDGET!$C$45)-SUM(F760:F779)-SUM(H760:H764))))</x:f>
      </x:c>
      <x:c r="I765" s="88" t="str">
        <x:f>IF(C765="","",MAX(0,ROUND(D765+E765-F765-G765-H765,2)))</x:f>
      </x:c>
      <x:c r="J765" s="88" t="str">
        <x:f>IF(C765="","",F765+G765+H765)</x:f>
      </x:c>
      <x:c r="K765" s="88" t="str">
        <x:f>IF(C765="","",MAX(0,SUMIFS(SONDERZAHLUNGEN!$E$9:$E$128,SONDERZAHLUNGEN!$B$9:$B$128,C765,SONDERZAHLUNGEN!$C$9:$C$128,A765,SONDERZAHLUNGEN!$H$9:$H$128,"OK",SONDERZAHLUNGEN!$F$9:$F$128,"Ja")-G765))</x:f>
      </x:c>
    </x:row>
    <x:row r="766" ht="19" customHeight="1">
      <x:c r="A766" s="90" t="n">
        <x:f>MONATSBUDGET!$A$45</x:f>
        <x:v>47362</x:v>
      </x:c>
      <x:c r="B766" t="n">
        <x:f>7</x:f>
        <x:v>7</x:v>
      </x:c>
      <x:c r="C766" t="str">
        <x:f>IF($N$15="","",$N$15)</x:f>
      </x:c>
      <x:c r="D766" s="88" t="str">
        <x:f>IF(C766="","",I746)</x:f>
      </x:c>
      <x:c r="E766" s="88" t="str">
        <x:f>IF(C766="","",ROUND(D766*$P$15/12,2))</x:f>
      </x:c>
      <x:c r="F766" s="88" t="str">
        <x:f>IF(C766="","",MIN(D766+E766,$Q$15))</x:f>
      </x:c>
      <x:c r="G766" s="88" t="str">
        <x:f>IF(C766="","",MIN(MAX(0,D766+E766-F766),SUMIFS(SONDERZAHLUNGEN!$E$9:$E$128,SONDERZAHLUNGEN!$B$9:$B$128,C766,SONDERZAHLUNGEN!$C$9:$C$128,A766,SONDERZAHLUNGEN!$H$9:$H$128,"OK",SONDERZAHLUNGEN!$F$9:$F$128,"Ja")))</x:f>
      </x:c>
      <x:c r="H766" s="88" t="str">
        <x:f>IF(C766="","",MIN(MAX(0,D766+E766-F766-G766),MAX(0,IF(MONATSBUDGET!$C$45="",0,MONATSBUDGET!$C$45)-SUM(F760:F779)-SUM(H760:H765))))</x:f>
      </x:c>
      <x:c r="I766" s="88" t="str">
        <x:f>IF(C766="","",MAX(0,ROUND(D766+E766-F766-G766-H766,2)))</x:f>
      </x:c>
      <x:c r="J766" s="88" t="str">
        <x:f>IF(C766="","",F766+G766+H766)</x:f>
      </x:c>
      <x:c r="K766" s="88" t="str">
        <x:f>IF(C766="","",MAX(0,SUMIFS(SONDERZAHLUNGEN!$E$9:$E$128,SONDERZAHLUNGEN!$B$9:$B$128,C766,SONDERZAHLUNGEN!$C$9:$C$128,A766,SONDERZAHLUNGEN!$H$9:$H$128,"OK",SONDERZAHLUNGEN!$F$9:$F$128,"Ja")-G766))</x:f>
      </x:c>
    </x:row>
    <x:row r="767" ht="19" customHeight="1">
      <x:c r="A767" s="90" t="n">
        <x:f>MONATSBUDGET!$A$45</x:f>
        <x:v>47362</x:v>
      </x:c>
      <x:c r="B767" t="n">
        <x:f>8</x:f>
        <x:v>8</x:v>
      </x:c>
      <x:c r="C767" t="str">
        <x:f>IF($N$16="","",$N$16)</x:f>
      </x:c>
      <x:c r="D767" s="88" t="str">
        <x:f>IF(C767="","",I747)</x:f>
      </x:c>
      <x:c r="E767" s="88" t="str">
        <x:f>IF(C767="","",ROUND(D767*$P$16/12,2))</x:f>
      </x:c>
      <x:c r="F767" s="88" t="str">
        <x:f>IF(C767="","",MIN(D767+E767,$Q$16))</x:f>
      </x:c>
      <x:c r="G767" s="88" t="str">
        <x:f>IF(C767="","",MIN(MAX(0,D767+E767-F767),SUMIFS(SONDERZAHLUNGEN!$E$9:$E$128,SONDERZAHLUNGEN!$B$9:$B$128,C767,SONDERZAHLUNGEN!$C$9:$C$128,A767,SONDERZAHLUNGEN!$H$9:$H$128,"OK",SONDERZAHLUNGEN!$F$9:$F$128,"Ja")))</x:f>
      </x:c>
      <x:c r="H767" s="88" t="str">
        <x:f>IF(C767="","",MIN(MAX(0,D767+E767-F767-G767),MAX(0,IF(MONATSBUDGET!$C$45="",0,MONATSBUDGET!$C$45)-SUM(F760:F779)-SUM(H760:H766))))</x:f>
      </x:c>
      <x:c r="I767" s="88" t="str">
        <x:f>IF(C767="","",MAX(0,ROUND(D767+E767-F767-G767-H767,2)))</x:f>
      </x:c>
      <x:c r="J767" s="88" t="str">
        <x:f>IF(C767="","",F767+G767+H767)</x:f>
      </x:c>
      <x:c r="K767" s="88" t="str">
        <x:f>IF(C767="","",MAX(0,SUMIFS(SONDERZAHLUNGEN!$E$9:$E$128,SONDERZAHLUNGEN!$B$9:$B$128,C767,SONDERZAHLUNGEN!$C$9:$C$128,A767,SONDERZAHLUNGEN!$H$9:$H$128,"OK",SONDERZAHLUNGEN!$F$9:$F$128,"Ja")-G767))</x:f>
      </x:c>
    </x:row>
    <x:row r="768" ht="19" customHeight="1">
      <x:c r="A768" s="90" t="n">
        <x:f>MONATSBUDGET!$A$45</x:f>
        <x:v>47362</x:v>
      </x:c>
      <x:c r="B768" t="n">
        <x:f>9</x:f>
        <x:v>9</x:v>
      </x:c>
      <x:c r="C768" t="str">
        <x:f>IF($N$17="","",$N$17)</x:f>
      </x:c>
      <x:c r="D768" s="88" t="str">
        <x:f>IF(C768="","",I748)</x:f>
      </x:c>
      <x:c r="E768" s="88" t="str">
        <x:f>IF(C768="","",ROUND(D768*$P$17/12,2))</x:f>
      </x:c>
      <x:c r="F768" s="88" t="str">
        <x:f>IF(C768="","",MIN(D768+E768,$Q$17))</x:f>
      </x:c>
      <x:c r="G768" s="88" t="str">
        <x:f>IF(C768="","",MIN(MAX(0,D768+E768-F768),SUMIFS(SONDERZAHLUNGEN!$E$9:$E$128,SONDERZAHLUNGEN!$B$9:$B$128,C768,SONDERZAHLUNGEN!$C$9:$C$128,A768,SONDERZAHLUNGEN!$H$9:$H$128,"OK",SONDERZAHLUNGEN!$F$9:$F$128,"Ja")))</x:f>
      </x:c>
      <x:c r="H768" s="88" t="str">
        <x:f>IF(C768="","",MIN(MAX(0,D768+E768-F768-G768),MAX(0,IF(MONATSBUDGET!$C$45="",0,MONATSBUDGET!$C$45)-SUM(F760:F779)-SUM(H760:H767))))</x:f>
      </x:c>
      <x:c r="I768" s="88" t="str">
        <x:f>IF(C768="","",MAX(0,ROUND(D768+E768-F768-G768-H768,2)))</x:f>
      </x:c>
      <x:c r="J768" s="88" t="str">
        <x:f>IF(C768="","",F768+G768+H768)</x:f>
      </x:c>
      <x:c r="K768" s="88" t="str">
        <x:f>IF(C768="","",MAX(0,SUMIFS(SONDERZAHLUNGEN!$E$9:$E$128,SONDERZAHLUNGEN!$B$9:$B$128,C768,SONDERZAHLUNGEN!$C$9:$C$128,A768,SONDERZAHLUNGEN!$H$9:$H$128,"OK",SONDERZAHLUNGEN!$F$9:$F$128,"Ja")-G768))</x:f>
      </x:c>
    </x:row>
    <x:row r="769" ht="19" customHeight="1">
      <x:c r="A769" s="90" t="n">
        <x:f>MONATSBUDGET!$A$45</x:f>
        <x:v>47362</x:v>
      </x:c>
      <x:c r="B769" t="n">
        <x:f>10</x:f>
        <x:v>10</x:v>
      </x:c>
      <x:c r="C769" t="str">
        <x:f>IF($N$18="","",$N$18)</x:f>
      </x:c>
      <x:c r="D769" s="88" t="str">
        <x:f>IF(C769="","",I749)</x:f>
      </x:c>
      <x:c r="E769" s="88" t="str">
        <x:f>IF(C769="","",ROUND(D769*$P$18/12,2))</x:f>
      </x:c>
      <x:c r="F769" s="88" t="str">
        <x:f>IF(C769="","",MIN(D769+E769,$Q$18))</x:f>
      </x:c>
      <x:c r="G769" s="88" t="str">
        <x:f>IF(C769="","",MIN(MAX(0,D769+E769-F769),SUMIFS(SONDERZAHLUNGEN!$E$9:$E$128,SONDERZAHLUNGEN!$B$9:$B$128,C769,SONDERZAHLUNGEN!$C$9:$C$128,A769,SONDERZAHLUNGEN!$H$9:$H$128,"OK",SONDERZAHLUNGEN!$F$9:$F$128,"Ja")))</x:f>
      </x:c>
      <x:c r="H769" s="88" t="str">
        <x:f>IF(C769="","",MIN(MAX(0,D769+E769-F769-G769),MAX(0,IF(MONATSBUDGET!$C$45="",0,MONATSBUDGET!$C$45)-SUM(F760:F779)-SUM(H760:H768))))</x:f>
      </x:c>
      <x:c r="I769" s="88" t="str">
        <x:f>IF(C769="","",MAX(0,ROUND(D769+E769-F769-G769-H769,2)))</x:f>
      </x:c>
      <x:c r="J769" s="88" t="str">
        <x:f>IF(C769="","",F769+G769+H769)</x:f>
      </x:c>
      <x:c r="K769" s="88" t="str">
        <x:f>IF(C769="","",MAX(0,SUMIFS(SONDERZAHLUNGEN!$E$9:$E$128,SONDERZAHLUNGEN!$B$9:$B$128,C769,SONDERZAHLUNGEN!$C$9:$C$128,A769,SONDERZAHLUNGEN!$H$9:$H$128,"OK",SONDERZAHLUNGEN!$F$9:$F$128,"Ja")-G769))</x:f>
      </x:c>
    </x:row>
    <x:row r="770" ht="19" customHeight="1">
      <x:c r="A770" s="90" t="n">
        <x:f>MONATSBUDGET!$A$45</x:f>
        <x:v>47362</x:v>
      </x:c>
      <x:c r="B770" t="n">
        <x:f>11</x:f>
        <x:v>11</x:v>
      </x:c>
      <x:c r="C770" t="str">
        <x:f>IF($N$19="","",$N$19)</x:f>
      </x:c>
      <x:c r="D770" s="88" t="str">
        <x:f>IF(C770="","",I750)</x:f>
      </x:c>
      <x:c r="E770" s="88" t="str">
        <x:f>IF(C770="","",ROUND(D770*$P$19/12,2))</x:f>
      </x:c>
      <x:c r="F770" s="88" t="str">
        <x:f>IF(C770="","",MIN(D770+E770,$Q$19))</x:f>
      </x:c>
      <x:c r="G770" s="88" t="str">
        <x:f>IF(C770="","",MIN(MAX(0,D770+E770-F770),SUMIFS(SONDERZAHLUNGEN!$E$9:$E$128,SONDERZAHLUNGEN!$B$9:$B$128,C770,SONDERZAHLUNGEN!$C$9:$C$128,A770,SONDERZAHLUNGEN!$H$9:$H$128,"OK",SONDERZAHLUNGEN!$F$9:$F$128,"Ja")))</x:f>
      </x:c>
      <x:c r="H770" s="88" t="str">
        <x:f>IF(C770="","",MIN(MAX(0,D770+E770-F770-G770),MAX(0,IF(MONATSBUDGET!$C$45="",0,MONATSBUDGET!$C$45)-SUM(F760:F779)-SUM(H760:H769))))</x:f>
      </x:c>
      <x:c r="I770" s="88" t="str">
        <x:f>IF(C770="","",MAX(0,ROUND(D770+E770-F770-G770-H770,2)))</x:f>
      </x:c>
      <x:c r="J770" s="88" t="str">
        <x:f>IF(C770="","",F770+G770+H770)</x:f>
      </x:c>
      <x:c r="K770" s="88" t="str">
        <x:f>IF(C770="","",MAX(0,SUMIFS(SONDERZAHLUNGEN!$E$9:$E$128,SONDERZAHLUNGEN!$B$9:$B$128,C770,SONDERZAHLUNGEN!$C$9:$C$128,A770,SONDERZAHLUNGEN!$H$9:$H$128,"OK",SONDERZAHLUNGEN!$F$9:$F$128,"Ja")-G770))</x:f>
      </x:c>
    </x:row>
    <x:row r="771" ht="19" customHeight="1">
      <x:c r="A771" s="90" t="n">
        <x:f>MONATSBUDGET!$A$45</x:f>
        <x:v>47362</x:v>
      </x:c>
      <x:c r="B771" t="n">
        <x:f>12</x:f>
        <x:v>12</x:v>
      </x:c>
      <x:c r="C771" t="str">
        <x:f>IF($N$20="","",$N$20)</x:f>
      </x:c>
      <x:c r="D771" s="88" t="str">
        <x:f>IF(C771="","",I751)</x:f>
      </x:c>
      <x:c r="E771" s="88" t="str">
        <x:f>IF(C771="","",ROUND(D771*$P$20/12,2))</x:f>
      </x:c>
      <x:c r="F771" s="88" t="str">
        <x:f>IF(C771="","",MIN(D771+E771,$Q$20))</x:f>
      </x:c>
      <x:c r="G771" s="88" t="str">
        <x:f>IF(C771="","",MIN(MAX(0,D771+E771-F771),SUMIFS(SONDERZAHLUNGEN!$E$9:$E$128,SONDERZAHLUNGEN!$B$9:$B$128,C771,SONDERZAHLUNGEN!$C$9:$C$128,A771,SONDERZAHLUNGEN!$H$9:$H$128,"OK",SONDERZAHLUNGEN!$F$9:$F$128,"Ja")))</x:f>
      </x:c>
      <x:c r="H771" s="88" t="str">
        <x:f>IF(C771="","",MIN(MAX(0,D771+E771-F771-G771),MAX(0,IF(MONATSBUDGET!$C$45="",0,MONATSBUDGET!$C$45)-SUM(F760:F779)-SUM(H760:H770))))</x:f>
      </x:c>
      <x:c r="I771" s="88" t="str">
        <x:f>IF(C771="","",MAX(0,ROUND(D771+E771-F771-G771-H771,2)))</x:f>
      </x:c>
      <x:c r="J771" s="88" t="str">
        <x:f>IF(C771="","",F771+G771+H771)</x:f>
      </x:c>
      <x:c r="K771" s="88" t="str">
        <x:f>IF(C771="","",MAX(0,SUMIFS(SONDERZAHLUNGEN!$E$9:$E$128,SONDERZAHLUNGEN!$B$9:$B$128,C771,SONDERZAHLUNGEN!$C$9:$C$128,A771,SONDERZAHLUNGEN!$H$9:$H$128,"OK",SONDERZAHLUNGEN!$F$9:$F$128,"Ja")-G771))</x:f>
      </x:c>
    </x:row>
    <x:row r="772" ht="19" customHeight="1">
      <x:c r="A772" s="90" t="n">
        <x:f>MONATSBUDGET!$A$45</x:f>
        <x:v>47362</x:v>
      </x:c>
      <x:c r="B772" t="n">
        <x:f>13</x:f>
        <x:v>13</x:v>
      </x:c>
      <x:c r="C772" t="str">
        <x:f>IF($N$21="","",$N$21)</x:f>
      </x:c>
      <x:c r="D772" s="88" t="str">
        <x:f>IF(C772="","",I752)</x:f>
      </x:c>
      <x:c r="E772" s="88" t="str">
        <x:f>IF(C772="","",ROUND(D772*$P$21/12,2))</x:f>
      </x:c>
      <x:c r="F772" s="88" t="str">
        <x:f>IF(C772="","",MIN(D772+E772,$Q$21))</x:f>
      </x:c>
      <x:c r="G772" s="88" t="str">
        <x:f>IF(C772="","",MIN(MAX(0,D772+E772-F772),SUMIFS(SONDERZAHLUNGEN!$E$9:$E$128,SONDERZAHLUNGEN!$B$9:$B$128,C772,SONDERZAHLUNGEN!$C$9:$C$128,A772,SONDERZAHLUNGEN!$H$9:$H$128,"OK",SONDERZAHLUNGEN!$F$9:$F$128,"Ja")))</x:f>
      </x:c>
      <x:c r="H772" s="88" t="str">
        <x:f>IF(C772="","",MIN(MAX(0,D772+E772-F772-G772),MAX(0,IF(MONATSBUDGET!$C$45="",0,MONATSBUDGET!$C$45)-SUM(F760:F779)-SUM(H760:H771))))</x:f>
      </x:c>
      <x:c r="I772" s="88" t="str">
        <x:f>IF(C772="","",MAX(0,ROUND(D772+E772-F772-G772-H772,2)))</x:f>
      </x:c>
      <x:c r="J772" s="88" t="str">
        <x:f>IF(C772="","",F772+G772+H772)</x:f>
      </x:c>
      <x:c r="K772" s="88" t="str">
        <x:f>IF(C772="","",MAX(0,SUMIFS(SONDERZAHLUNGEN!$E$9:$E$128,SONDERZAHLUNGEN!$B$9:$B$128,C772,SONDERZAHLUNGEN!$C$9:$C$128,A772,SONDERZAHLUNGEN!$H$9:$H$128,"OK",SONDERZAHLUNGEN!$F$9:$F$128,"Ja")-G772))</x:f>
      </x:c>
    </x:row>
    <x:row r="773" ht="19" customHeight="1">
      <x:c r="A773" s="90" t="n">
        <x:f>MONATSBUDGET!$A$45</x:f>
        <x:v>47362</x:v>
      </x:c>
      <x:c r="B773" t="n">
        <x:f>14</x:f>
        <x:v>14</x:v>
      </x:c>
      <x:c r="C773" t="str">
        <x:f>IF($N$22="","",$N$22)</x:f>
      </x:c>
      <x:c r="D773" s="88" t="str">
        <x:f>IF(C773="","",I753)</x:f>
      </x:c>
      <x:c r="E773" s="88" t="str">
        <x:f>IF(C773="","",ROUND(D773*$P$22/12,2))</x:f>
      </x:c>
      <x:c r="F773" s="88" t="str">
        <x:f>IF(C773="","",MIN(D773+E773,$Q$22))</x:f>
      </x:c>
      <x:c r="G773" s="88" t="str">
        <x:f>IF(C773="","",MIN(MAX(0,D773+E773-F773),SUMIFS(SONDERZAHLUNGEN!$E$9:$E$128,SONDERZAHLUNGEN!$B$9:$B$128,C773,SONDERZAHLUNGEN!$C$9:$C$128,A773,SONDERZAHLUNGEN!$H$9:$H$128,"OK",SONDERZAHLUNGEN!$F$9:$F$128,"Ja")))</x:f>
      </x:c>
      <x:c r="H773" s="88" t="str">
        <x:f>IF(C773="","",MIN(MAX(0,D773+E773-F773-G773),MAX(0,IF(MONATSBUDGET!$C$45="",0,MONATSBUDGET!$C$45)-SUM(F760:F779)-SUM(H760:H772))))</x:f>
      </x:c>
      <x:c r="I773" s="88" t="str">
        <x:f>IF(C773="","",MAX(0,ROUND(D773+E773-F773-G773-H773,2)))</x:f>
      </x:c>
      <x:c r="J773" s="88" t="str">
        <x:f>IF(C773="","",F773+G773+H773)</x:f>
      </x:c>
      <x:c r="K773" s="88" t="str">
        <x:f>IF(C773="","",MAX(0,SUMIFS(SONDERZAHLUNGEN!$E$9:$E$128,SONDERZAHLUNGEN!$B$9:$B$128,C773,SONDERZAHLUNGEN!$C$9:$C$128,A773,SONDERZAHLUNGEN!$H$9:$H$128,"OK",SONDERZAHLUNGEN!$F$9:$F$128,"Ja")-G773))</x:f>
      </x:c>
    </x:row>
    <x:row r="774" ht="19" customHeight="1">
      <x:c r="A774" s="90" t="n">
        <x:f>MONATSBUDGET!$A$45</x:f>
        <x:v>47362</x:v>
      </x:c>
      <x:c r="B774" t="n">
        <x:f>15</x:f>
        <x:v>15</x:v>
      </x:c>
      <x:c r="C774" t="str">
        <x:f>IF($N$23="","",$N$23)</x:f>
      </x:c>
      <x:c r="D774" s="88" t="str">
        <x:f>IF(C774="","",I754)</x:f>
      </x:c>
      <x:c r="E774" s="88" t="str">
        <x:f>IF(C774="","",ROUND(D774*$P$23/12,2))</x:f>
      </x:c>
      <x:c r="F774" s="88" t="str">
        <x:f>IF(C774="","",MIN(D774+E774,$Q$23))</x:f>
      </x:c>
      <x:c r="G774" s="88" t="str">
        <x:f>IF(C774="","",MIN(MAX(0,D774+E774-F774),SUMIFS(SONDERZAHLUNGEN!$E$9:$E$128,SONDERZAHLUNGEN!$B$9:$B$128,C774,SONDERZAHLUNGEN!$C$9:$C$128,A774,SONDERZAHLUNGEN!$H$9:$H$128,"OK",SONDERZAHLUNGEN!$F$9:$F$128,"Ja")))</x:f>
      </x:c>
      <x:c r="H774" s="88" t="str">
        <x:f>IF(C774="","",MIN(MAX(0,D774+E774-F774-G774),MAX(0,IF(MONATSBUDGET!$C$45="",0,MONATSBUDGET!$C$45)-SUM(F760:F779)-SUM(H760:H773))))</x:f>
      </x:c>
      <x:c r="I774" s="88" t="str">
        <x:f>IF(C774="","",MAX(0,ROUND(D774+E774-F774-G774-H774,2)))</x:f>
      </x:c>
      <x:c r="J774" s="88" t="str">
        <x:f>IF(C774="","",F774+G774+H774)</x:f>
      </x:c>
      <x:c r="K774" s="88" t="str">
        <x:f>IF(C774="","",MAX(0,SUMIFS(SONDERZAHLUNGEN!$E$9:$E$128,SONDERZAHLUNGEN!$B$9:$B$128,C774,SONDERZAHLUNGEN!$C$9:$C$128,A774,SONDERZAHLUNGEN!$H$9:$H$128,"OK",SONDERZAHLUNGEN!$F$9:$F$128,"Ja")-G774))</x:f>
      </x:c>
    </x:row>
    <x:row r="775" ht="19" customHeight="1">
      <x:c r="A775" s="90" t="n">
        <x:f>MONATSBUDGET!$A$45</x:f>
        <x:v>47362</x:v>
      </x:c>
      <x:c r="B775" t="n">
        <x:f>16</x:f>
        <x:v>16</x:v>
      </x:c>
      <x:c r="C775" t="str">
        <x:f>IF($N$24="","",$N$24)</x:f>
      </x:c>
      <x:c r="D775" s="88" t="str">
        <x:f>IF(C775="","",I755)</x:f>
      </x:c>
      <x:c r="E775" s="88" t="str">
        <x:f>IF(C775="","",ROUND(D775*$P$24/12,2))</x:f>
      </x:c>
      <x:c r="F775" s="88" t="str">
        <x:f>IF(C775="","",MIN(D775+E775,$Q$24))</x:f>
      </x:c>
      <x:c r="G775" s="88" t="str">
        <x:f>IF(C775="","",MIN(MAX(0,D775+E775-F775),SUMIFS(SONDERZAHLUNGEN!$E$9:$E$128,SONDERZAHLUNGEN!$B$9:$B$128,C775,SONDERZAHLUNGEN!$C$9:$C$128,A775,SONDERZAHLUNGEN!$H$9:$H$128,"OK",SONDERZAHLUNGEN!$F$9:$F$128,"Ja")))</x:f>
      </x:c>
      <x:c r="H775" s="88" t="str">
        <x:f>IF(C775="","",MIN(MAX(0,D775+E775-F775-G775),MAX(0,IF(MONATSBUDGET!$C$45="",0,MONATSBUDGET!$C$45)-SUM(F760:F779)-SUM(H760:H774))))</x:f>
      </x:c>
      <x:c r="I775" s="88" t="str">
        <x:f>IF(C775="","",MAX(0,ROUND(D775+E775-F775-G775-H775,2)))</x:f>
      </x:c>
      <x:c r="J775" s="88" t="str">
        <x:f>IF(C775="","",F775+G775+H775)</x:f>
      </x:c>
      <x:c r="K775" s="88" t="str">
        <x:f>IF(C775="","",MAX(0,SUMIFS(SONDERZAHLUNGEN!$E$9:$E$128,SONDERZAHLUNGEN!$B$9:$B$128,C775,SONDERZAHLUNGEN!$C$9:$C$128,A775,SONDERZAHLUNGEN!$H$9:$H$128,"OK",SONDERZAHLUNGEN!$F$9:$F$128,"Ja")-G775))</x:f>
      </x:c>
    </x:row>
    <x:row r="776" ht="19" customHeight="1">
      <x:c r="A776" s="90" t="n">
        <x:f>MONATSBUDGET!$A$45</x:f>
        <x:v>47362</x:v>
      </x:c>
      <x:c r="B776" t="n">
        <x:f>17</x:f>
        <x:v>17</x:v>
      </x:c>
      <x:c r="C776" t="str">
        <x:f>IF($N$25="","",$N$25)</x:f>
      </x:c>
      <x:c r="D776" s="88" t="str">
        <x:f>IF(C776="","",I756)</x:f>
      </x:c>
      <x:c r="E776" s="88" t="str">
        <x:f>IF(C776="","",ROUND(D776*$P$25/12,2))</x:f>
      </x:c>
      <x:c r="F776" s="88" t="str">
        <x:f>IF(C776="","",MIN(D776+E776,$Q$25))</x:f>
      </x:c>
      <x:c r="G776" s="88" t="str">
        <x:f>IF(C776="","",MIN(MAX(0,D776+E776-F776),SUMIFS(SONDERZAHLUNGEN!$E$9:$E$128,SONDERZAHLUNGEN!$B$9:$B$128,C776,SONDERZAHLUNGEN!$C$9:$C$128,A776,SONDERZAHLUNGEN!$H$9:$H$128,"OK",SONDERZAHLUNGEN!$F$9:$F$128,"Ja")))</x:f>
      </x:c>
      <x:c r="H776" s="88" t="str">
        <x:f>IF(C776="","",MIN(MAX(0,D776+E776-F776-G776),MAX(0,IF(MONATSBUDGET!$C$45="",0,MONATSBUDGET!$C$45)-SUM(F760:F779)-SUM(H760:H775))))</x:f>
      </x:c>
      <x:c r="I776" s="88" t="str">
        <x:f>IF(C776="","",MAX(0,ROUND(D776+E776-F776-G776-H776,2)))</x:f>
      </x:c>
      <x:c r="J776" s="88" t="str">
        <x:f>IF(C776="","",F776+G776+H776)</x:f>
      </x:c>
      <x:c r="K776" s="88" t="str">
        <x:f>IF(C776="","",MAX(0,SUMIFS(SONDERZAHLUNGEN!$E$9:$E$128,SONDERZAHLUNGEN!$B$9:$B$128,C776,SONDERZAHLUNGEN!$C$9:$C$128,A776,SONDERZAHLUNGEN!$H$9:$H$128,"OK",SONDERZAHLUNGEN!$F$9:$F$128,"Ja")-G776))</x:f>
      </x:c>
    </x:row>
    <x:row r="777" ht="19" customHeight="1">
      <x:c r="A777" s="90" t="n">
        <x:f>MONATSBUDGET!$A$45</x:f>
        <x:v>47362</x:v>
      </x:c>
      <x:c r="B777" t="n">
        <x:f>18</x:f>
        <x:v>18</x:v>
      </x:c>
      <x:c r="C777" t="str">
        <x:f>IF($N$26="","",$N$26)</x:f>
      </x:c>
      <x:c r="D777" s="88" t="str">
        <x:f>IF(C777="","",I757)</x:f>
      </x:c>
      <x:c r="E777" s="88" t="str">
        <x:f>IF(C777="","",ROUND(D777*$P$26/12,2))</x:f>
      </x:c>
      <x:c r="F777" s="88" t="str">
        <x:f>IF(C777="","",MIN(D777+E777,$Q$26))</x:f>
      </x:c>
      <x:c r="G777" s="88" t="str">
        <x:f>IF(C777="","",MIN(MAX(0,D777+E777-F777),SUMIFS(SONDERZAHLUNGEN!$E$9:$E$128,SONDERZAHLUNGEN!$B$9:$B$128,C777,SONDERZAHLUNGEN!$C$9:$C$128,A777,SONDERZAHLUNGEN!$H$9:$H$128,"OK",SONDERZAHLUNGEN!$F$9:$F$128,"Ja")))</x:f>
      </x:c>
      <x:c r="H777" s="88" t="str">
        <x:f>IF(C777="","",MIN(MAX(0,D777+E777-F777-G777),MAX(0,IF(MONATSBUDGET!$C$45="",0,MONATSBUDGET!$C$45)-SUM(F760:F779)-SUM(H760:H776))))</x:f>
      </x:c>
      <x:c r="I777" s="88" t="str">
        <x:f>IF(C777="","",MAX(0,ROUND(D777+E777-F777-G777-H777,2)))</x:f>
      </x:c>
      <x:c r="J777" s="88" t="str">
        <x:f>IF(C777="","",F777+G777+H777)</x:f>
      </x:c>
      <x:c r="K777" s="88" t="str">
        <x:f>IF(C777="","",MAX(0,SUMIFS(SONDERZAHLUNGEN!$E$9:$E$128,SONDERZAHLUNGEN!$B$9:$B$128,C777,SONDERZAHLUNGEN!$C$9:$C$128,A777,SONDERZAHLUNGEN!$H$9:$H$128,"OK",SONDERZAHLUNGEN!$F$9:$F$128,"Ja")-G777))</x:f>
      </x:c>
    </x:row>
    <x:row r="778" ht="19" customHeight="1">
      <x:c r="A778" s="90" t="n">
        <x:f>MONATSBUDGET!$A$45</x:f>
        <x:v>47362</x:v>
      </x:c>
      <x:c r="B778" t="n">
        <x:f>19</x:f>
        <x:v>19</x:v>
      </x:c>
      <x:c r="C778" t="str">
        <x:f>IF($N$27="","",$N$27)</x:f>
      </x:c>
      <x:c r="D778" s="88" t="str">
        <x:f>IF(C778="","",I758)</x:f>
      </x:c>
      <x:c r="E778" s="88" t="str">
        <x:f>IF(C778="","",ROUND(D778*$P$27/12,2))</x:f>
      </x:c>
      <x:c r="F778" s="88" t="str">
        <x:f>IF(C778="","",MIN(D778+E778,$Q$27))</x:f>
      </x:c>
      <x:c r="G778" s="88" t="str">
        <x:f>IF(C778="","",MIN(MAX(0,D778+E778-F778),SUMIFS(SONDERZAHLUNGEN!$E$9:$E$128,SONDERZAHLUNGEN!$B$9:$B$128,C778,SONDERZAHLUNGEN!$C$9:$C$128,A778,SONDERZAHLUNGEN!$H$9:$H$128,"OK",SONDERZAHLUNGEN!$F$9:$F$128,"Ja")))</x:f>
      </x:c>
      <x:c r="H778" s="88" t="str">
        <x:f>IF(C778="","",MIN(MAX(0,D778+E778-F778-G778),MAX(0,IF(MONATSBUDGET!$C$45="",0,MONATSBUDGET!$C$45)-SUM(F760:F779)-SUM(H760:H777))))</x:f>
      </x:c>
      <x:c r="I778" s="88" t="str">
        <x:f>IF(C778="","",MAX(0,ROUND(D778+E778-F778-G778-H778,2)))</x:f>
      </x:c>
      <x:c r="J778" s="88" t="str">
        <x:f>IF(C778="","",F778+G778+H778)</x:f>
      </x:c>
      <x:c r="K778" s="88" t="str">
        <x:f>IF(C778="","",MAX(0,SUMIFS(SONDERZAHLUNGEN!$E$9:$E$128,SONDERZAHLUNGEN!$B$9:$B$128,C778,SONDERZAHLUNGEN!$C$9:$C$128,A778,SONDERZAHLUNGEN!$H$9:$H$128,"OK",SONDERZAHLUNGEN!$F$9:$F$128,"Ja")-G778))</x:f>
      </x:c>
    </x:row>
    <x:row r="779" ht="19" customHeight="1">
      <x:c r="A779" s="90" t="n">
        <x:f>MONATSBUDGET!$A$45</x:f>
        <x:v>47362</x:v>
      </x:c>
      <x:c r="B779" t="n">
        <x:f>20</x:f>
        <x:v>20</x:v>
      </x:c>
      <x:c r="C779" t="str">
        <x:f>IF($N$28="","",$N$28)</x:f>
      </x:c>
      <x:c r="D779" s="88" t="str">
        <x:f>IF(C779="","",I759)</x:f>
      </x:c>
      <x:c r="E779" s="88" t="str">
        <x:f>IF(C779="","",ROUND(D779*$P$28/12,2))</x:f>
      </x:c>
      <x:c r="F779" s="88" t="str">
        <x:f>IF(C779="","",MIN(D779+E779,$Q$28))</x:f>
      </x:c>
      <x:c r="G779" s="88" t="str">
        <x:f>IF(C779="","",MIN(MAX(0,D779+E779-F779),SUMIFS(SONDERZAHLUNGEN!$E$9:$E$128,SONDERZAHLUNGEN!$B$9:$B$128,C779,SONDERZAHLUNGEN!$C$9:$C$128,A779,SONDERZAHLUNGEN!$H$9:$H$128,"OK",SONDERZAHLUNGEN!$F$9:$F$128,"Ja")))</x:f>
      </x:c>
      <x:c r="H779" s="88" t="str">
        <x:f>IF(C779="","",MIN(MAX(0,D779+E779-F779-G779),MAX(0,IF(MONATSBUDGET!$C$45="",0,MONATSBUDGET!$C$45)-SUM(F760:F779)-SUM(H760:H778))))</x:f>
      </x:c>
      <x:c r="I779" s="88" t="str">
        <x:f>IF(C779="","",MAX(0,ROUND(D779+E779-F779-G779-H779,2)))</x:f>
      </x:c>
      <x:c r="J779" s="88" t="str">
        <x:f>IF(C779="","",F779+G779+H779)</x:f>
      </x:c>
      <x:c r="K779" s="88" t="str">
        <x:f>IF(C779="","",MAX(0,SUMIFS(SONDERZAHLUNGEN!$E$9:$E$128,SONDERZAHLUNGEN!$B$9:$B$128,C779,SONDERZAHLUNGEN!$C$9:$C$128,A779,SONDERZAHLUNGEN!$H$9:$H$128,"OK",SONDERZAHLUNGEN!$F$9:$F$128,"Ja")-G779))</x:f>
      </x:c>
    </x:row>
    <x:row r="780" ht="19" customHeight="1">
      <x:c r="A780" s="90" t="n">
        <x:f>MONATSBUDGET!$A$46</x:f>
        <x:v>47392</x:v>
      </x:c>
      <x:c r="B780" t="n">
        <x:f>1</x:f>
        <x:v>1</x:v>
      </x:c>
      <x:c r="C780" t="str">
        <x:f>IF($N$9="","",$N$9)</x:f>
      </x:c>
      <x:c r="D780" s="88" t="str">
        <x:f>IF(C780="","",I760)</x:f>
      </x:c>
      <x:c r="E780" s="88" t="str">
        <x:f>IF(C780="","",ROUND(D780*$P$9/12,2))</x:f>
      </x:c>
      <x:c r="F780" s="88" t="str">
        <x:f>IF(C780="","",MIN(D780+E780,$Q$9))</x:f>
      </x:c>
      <x:c r="G780" s="88" t="str">
        <x:f>IF(C780="","",MIN(MAX(0,D780+E780-F780),SUMIFS(SONDERZAHLUNGEN!$E$9:$E$128,SONDERZAHLUNGEN!$B$9:$B$128,C780,SONDERZAHLUNGEN!$C$9:$C$128,A780,SONDERZAHLUNGEN!$H$9:$H$128,"OK",SONDERZAHLUNGEN!$F$9:$F$128,"Ja")))</x:f>
      </x:c>
      <x:c r="H780" s="88" t="str">
        <x:f>IF(C780="","",MIN(MAX(0,D780+E780-F780-G780),MAX(0,IF(MONATSBUDGET!$C$46="",0,MONATSBUDGET!$C$46)-SUM(F780:F799)-0)))</x:f>
      </x:c>
      <x:c r="I780" s="88" t="str">
        <x:f>IF(C780="","",MAX(0,ROUND(D780+E780-F780-G780-H780,2)))</x:f>
      </x:c>
      <x:c r="J780" s="88" t="str">
        <x:f>IF(C780="","",F780+G780+H780)</x:f>
      </x:c>
      <x:c r="K780" s="88" t="str">
        <x:f>IF(C780="","",MAX(0,SUMIFS(SONDERZAHLUNGEN!$E$9:$E$128,SONDERZAHLUNGEN!$B$9:$B$128,C780,SONDERZAHLUNGEN!$C$9:$C$128,A780,SONDERZAHLUNGEN!$H$9:$H$128,"OK",SONDERZAHLUNGEN!$F$9:$F$128,"Ja")-G780))</x:f>
      </x:c>
    </x:row>
    <x:row r="781" ht="19" customHeight="1">
      <x:c r="A781" s="90" t="n">
        <x:f>MONATSBUDGET!$A$46</x:f>
        <x:v>47392</x:v>
      </x:c>
      <x:c r="B781" t="n">
        <x:f>2</x:f>
        <x:v>2</x:v>
      </x:c>
      <x:c r="C781" t="str">
        <x:f>IF($N$10="","",$N$10)</x:f>
      </x:c>
      <x:c r="D781" s="88" t="str">
        <x:f>IF(C781="","",I761)</x:f>
      </x:c>
      <x:c r="E781" s="88" t="str">
        <x:f>IF(C781="","",ROUND(D781*$P$10/12,2))</x:f>
      </x:c>
      <x:c r="F781" s="88" t="str">
        <x:f>IF(C781="","",MIN(D781+E781,$Q$10))</x:f>
      </x:c>
      <x:c r="G781" s="88" t="str">
        <x:f>IF(C781="","",MIN(MAX(0,D781+E781-F781),SUMIFS(SONDERZAHLUNGEN!$E$9:$E$128,SONDERZAHLUNGEN!$B$9:$B$128,C781,SONDERZAHLUNGEN!$C$9:$C$128,A781,SONDERZAHLUNGEN!$H$9:$H$128,"OK",SONDERZAHLUNGEN!$F$9:$F$128,"Ja")))</x:f>
      </x:c>
      <x:c r="H781" s="88" t="str">
        <x:f>IF(C781="","",MIN(MAX(0,D781+E781-F781-G781),MAX(0,IF(MONATSBUDGET!$C$46="",0,MONATSBUDGET!$C$46)-SUM(F780:F799)-SUM(H780:H780))))</x:f>
      </x:c>
      <x:c r="I781" s="88" t="str">
        <x:f>IF(C781="","",MAX(0,ROUND(D781+E781-F781-G781-H781,2)))</x:f>
      </x:c>
      <x:c r="J781" s="88" t="str">
        <x:f>IF(C781="","",F781+G781+H781)</x:f>
      </x:c>
      <x:c r="K781" s="88" t="str">
        <x:f>IF(C781="","",MAX(0,SUMIFS(SONDERZAHLUNGEN!$E$9:$E$128,SONDERZAHLUNGEN!$B$9:$B$128,C781,SONDERZAHLUNGEN!$C$9:$C$128,A781,SONDERZAHLUNGEN!$H$9:$H$128,"OK",SONDERZAHLUNGEN!$F$9:$F$128,"Ja")-G781))</x:f>
      </x:c>
    </x:row>
    <x:row r="782" ht="19" customHeight="1">
      <x:c r="A782" s="90" t="n">
        <x:f>MONATSBUDGET!$A$46</x:f>
        <x:v>47392</x:v>
      </x:c>
      <x:c r="B782" t="n">
        <x:f>3</x:f>
        <x:v>3</x:v>
      </x:c>
      <x:c r="C782" t="str">
        <x:f>IF($N$11="","",$N$11)</x:f>
      </x:c>
      <x:c r="D782" s="88" t="str">
        <x:f>IF(C782="","",I762)</x:f>
      </x:c>
      <x:c r="E782" s="88" t="str">
        <x:f>IF(C782="","",ROUND(D782*$P$11/12,2))</x:f>
      </x:c>
      <x:c r="F782" s="88" t="str">
        <x:f>IF(C782="","",MIN(D782+E782,$Q$11))</x:f>
      </x:c>
      <x:c r="G782" s="88" t="str">
        <x:f>IF(C782="","",MIN(MAX(0,D782+E782-F782),SUMIFS(SONDERZAHLUNGEN!$E$9:$E$128,SONDERZAHLUNGEN!$B$9:$B$128,C782,SONDERZAHLUNGEN!$C$9:$C$128,A782,SONDERZAHLUNGEN!$H$9:$H$128,"OK",SONDERZAHLUNGEN!$F$9:$F$128,"Ja")))</x:f>
      </x:c>
      <x:c r="H782" s="88" t="str">
        <x:f>IF(C782="","",MIN(MAX(0,D782+E782-F782-G782),MAX(0,IF(MONATSBUDGET!$C$46="",0,MONATSBUDGET!$C$46)-SUM(F780:F799)-SUM(H780:H781))))</x:f>
      </x:c>
      <x:c r="I782" s="88" t="str">
        <x:f>IF(C782="","",MAX(0,ROUND(D782+E782-F782-G782-H782,2)))</x:f>
      </x:c>
      <x:c r="J782" s="88" t="str">
        <x:f>IF(C782="","",F782+G782+H782)</x:f>
      </x:c>
      <x:c r="K782" s="88" t="str">
        <x:f>IF(C782="","",MAX(0,SUMIFS(SONDERZAHLUNGEN!$E$9:$E$128,SONDERZAHLUNGEN!$B$9:$B$128,C782,SONDERZAHLUNGEN!$C$9:$C$128,A782,SONDERZAHLUNGEN!$H$9:$H$128,"OK",SONDERZAHLUNGEN!$F$9:$F$128,"Ja")-G782))</x:f>
      </x:c>
    </x:row>
    <x:row r="783" ht="19" customHeight="1">
      <x:c r="A783" s="90" t="n">
        <x:f>MONATSBUDGET!$A$46</x:f>
        <x:v>47392</x:v>
      </x:c>
      <x:c r="B783" t="n">
        <x:f>4</x:f>
        <x:v>4</x:v>
      </x:c>
      <x:c r="C783" t="str">
        <x:f>IF($N$12="","",$N$12)</x:f>
      </x:c>
      <x:c r="D783" s="88" t="str">
        <x:f>IF(C783="","",I763)</x:f>
      </x:c>
      <x:c r="E783" s="88" t="str">
        <x:f>IF(C783="","",ROUND(D783*$P$12/12,2))</x:f>
      </x:c>
      <x:c r="F783" s="88" t="str">
        <x:f>IF(C783="","",MIN(D783+E783,$Q$12))</x:f>
      </x:c>
      <x:c r="G783" s="88" t="str">
        <x:f>IF(C783="","",MIN(MAX(0,D783+E783-F783),SUMIFS(SONDERZAHLUNGEN!$E$9:$E$128,SONDERZAHLUNGEN!$B$9:$B$128,C783,SONDERZAHLUNGEN!$C$9:$C$128,A783,SONDERZAHLUNGEN!$H$9:$H$128,"OK",SONDERZAHLUNGEN!$F$9:$F$128,"Ja")))</x:f>
      </x:c>
      <x:c r="H783" s="88" t="str">
        <x:f>IF(C783="","",MIN(MAX(0,D783+E783-F783-G783),MAX(0,IF(MONATSBUDGET!$C$46="",0,MONATSBUDGET!$C$46)-SUM(F780:F799)-SUM(H780:H782))))</x:f>
      </x:c>
      <x:c r="I783" s="88" t="str">
        <x:f>IF(C783="","",MAX(0,ROUND(D783+E783-F783-G783-H783,2)))</x:f>
      </x:c>
      <x:c r="J783" s="88" t="str">
        <x:f>IF(C783="","",F783+G783+H783)</x:f>
      </x:c>
      <x:c r="K783" s="88" t="str">
        <x:f>IF(C783="","",MAX(0,SUMIFS(SONDERZAHLUNGEN!$E$9:$E$128,SONDERZAHLUNGEN!$B$9:$B$128,C783,SONDERZAHLUNGEN!$C$9:$C$128,A783,SONDERZAHLUNGEN!$H$9:$H$128,"OK",SONDERZAHLUNGEN!$F$9:$F$128,"Ja")-G783))</x:f>
      </x:c>
    </x:row>
    <x:row r="784" ht="19" customHeight="1">
      <x:c r="A784" s="90" t="n">
        <x:f>MONATSBUDGET!$A$46</x:f>
        <x:v>47392</x:v>
      </x:c>
      <x:c r="B784" t="n">
        <x:f>5</x:f>
        <x:v>5</x:v>
      </x:c>
      <x:c r="C784" t="str">
        <x:f>IF($N$13="","",$N$13)</x:f>
      </x:c>
      <x:c r="D784" s="88" t="str">
        <x:f>IF(C784="","",I764)</x:f>
      </x:c>
      <x:c r="E784" s="88" t="str">
        <x:f>IF(C784="","",ROUND(D784*$P$13/12,2))</x:f>
      </x:c>
      <x:c r="F784" s="88" t="str">
        <x:f>IF(C784="","",MIN(D784+E784,$Q$13))</x:f>
      </x:c>
      <x:c r="G784" s="88" t="str">
        <x:f>IF(C784="","",MIN(MAX(0,D784+E784-F784),SUMIFS(SONDERZAHLUNGEN!$E$9:$E$128,SONDERZAHLUNGEN!$B$9:$B$128,C784,SONDERZAHLUNGEN!$C$9:$C$128,A784,SONDERZAHLUNGEN!$H$9:$H$128,"OK",SONDERZAHLUNGEN!$F$9:$F$128,"Ja")))</x:f>
      </x:c>
      <x:c r="H784" s="88" t="str">
        <x:f>IF(C784="","",MIN(MAX(0,D784+E784-F784-G784),MAX(0,IF(MONATSBUDGET!$C$46="",0,MONATSBUDGET!$C$46)-SUM(F780:F799)-SUM(H780:H783))))</x:f>
      </x:c>
      <x:c r="I784" s="88" t="str">
        <x:f>IF(C784="","",MAX(0,ROUND(D784+E784-F784-G784-H784,2)))</x:f>
      </x:c>
      <x:c r="J784" s="88" t="str">
        <x:f>IF(C784="","",F784+G784+H784)</x:f>
      </x:c>
      <x:c r="K784" s="88" t="str">
        <x:f>IF(C784="","",MAX(0,SUMIFS(SONDERZAHLUNGEN!$E$9:$E$128,SONDERZAHLUNGEN!$B$9:$B$128,C784,SONDERZAHLUNGEN!$C$9:$C$128,A784,SONDERZAHLUNGEN!$H$9:$H$128,"OK",SONDERZAHLUNGEN!$F$9:$F$128,"Ja")-G784))</x:f>
      </x:c>
    </x:row>
    <x:row r="785" ht="19" customHeight="1">
      <x:c r="A785" s="90" t="n">
        <x:f>MONATSBUDGET!$A$46</x:f>
        <x:v>47392</x:v>
      </x:c>
      <x:c r="B785" t="n">
        <x:f>6</x:f>
        <x:v>6</x:v>
      </x:c>
      <x:c r="C785" t="str">
        <x:f>IF($N$14="","",$N$14)</x:f>
      </x:c>
      <x:c r="D785" s="88" t="str">
        <x:f>IF(C785="","",I765)</x:f>
      </x:c>
      <x:c r="E785" s="88" t="str">
        <x:f>IF(C785="","",ROUND(D785*$P$14/12,2))</x:f>
      </x:c>
      <x:c r="F785" s="88" t="str">
        <x:f>IF(C785="","",MIN(D785+E785,$Q$14))</x:f>
      </x:c>
      <x:c r="G785" s="88" t="str">
        <x:f>IF(C785="","",MIN(MAX(0,D785+E785-F785),SUMIFS(SONDERZAHLUNGEN!$E$9:$E$128,SONDERZAHLUNGEN!$B$9:$B$128,C785,SONDERZAHLUNGEN!$C$9:$C$128,A785,SONDERZAHLUNGEN!$H$9:$H$128,"OK",SONDERZAHLUNGEN!$F$9:$F$128,"Ja")))</x:f>
      </x:c>
      <x:c r="H785" s="88" t="str">
        <x:f>IF(C785="","",MIN(MAX(0,D785+E785-F785-G785),MAX(0,IF(MONATSBUDGET!$C$46="",0,MONATSBUDGET!$C$46)-SUM(F780:F799)-SUM(H780:H784))))</x:f>
      </x:c>
      <x:c r="I785" s="88" t="str">
        <x:f>IF(C785="","",MAX(0,ROUND(D785+E785-F785-G785-H785,2)))</x:f>
      </x:c>
      <x:c r="J785" s="88" t="str">
        <x:f>IF(C785="","",F785+G785+H785)</x:f>
      </x:c>
      <x:c r="K785" s="88" t="str">
        <x:f>IF(C785="","",MAX(0,SUMIFS(SONDERZAHLUNGEN!$E$9:$E$128,SONDERZAHLUNGEN!$B$9:$B$128,C785,SONDERZAHLUNGEN!$C$9:$C$128,A785,SONDERZAHLUNGEN!$H$9:$H$128,"OK",SONDERZAHLUNGEN!$F$9:$F$128,"Ja")-G785))</x:f>
      </x:c>
    </x:row>
    <x:row r="786" ht="19" customHeight="1">
      <x:c r="A786" s="90" t="n">
        <x:f>MONATSBUDGET!$A$46</x:f>
        <x:v>47392</x:v>
      </x:c>
      <x:c r="B786" t="n">
        <x:f>7</x:f>
        <x:v>7</x:v>
      </x:c>
      <x:c r="C786" t="str">
        <x:f>IF($N$15="","",$N$15)</x:f>
      </x:c>
      <x:c r="D786" s="88" t="str">
        <x:f>IF(C786="","",I766)</x:f>
      </x:c>
      <x:c r="E786" s="88" t="str">
        <x:f>IF(C786="","",ROUND(D786*$P$15/12,2))</x:f>
      </x:c>
      <x:c r="F786" s="88" t="str">
        <x:f>IF(C786="","",MIN(D786+E786,$Q$15))</x:f>
      </x:c>
      <x:c r="G786" s="88" t="str">
        <x:f>IF(C786="","",MIN(MAX(0,D786+E786-F786),SUMIFS(SONDERZAHLUNGEN!$E$9:$E$128,SONDERZAHLUNGEN!$B$9:$B$128,C786,SONDERZAHLUNGEN!$C$9:$C$128,A786,SONDERZAHLUNGEN!$H$9:$H$128,"OK",SONDERZAHLUNGEN!$F$9:$F$128,"Ja")))</x:f>
      </x:c>
      <x:c r="H786" s="88" t="str">
        <x:f>IF(C786="","",MIN(MAX(0,D786+E786-F786-G786),MAX(0,IF(MONATSBUDGET!$C$46="",0,MONATSBUDGET!$C$46)-SUM(F780:F799)-SUM(H780:H785))))</x:f>
      </x:c>
      <x:c r="I786" s="88" t="str">
        <x:f>IF(C786="","",MAX(0,ROUND(D786+E786-F786-G786-H786,2)))</x:f>
      </x:c>
      <x:c r="J786" s="88" t="str">
        <x:f>IF(C786="","",F786+G786+H786)</x:f>
      </x:c>
      <x:c r="K786" s="88" t="str">
        <x:f>IF(C786="","",MAX(0,SUMIFS(SONDERZAHLUNGEN!$E$9:$E$128,SONDERZAHLUNGEN!$B$9:$B$128,C786,SONDERZAHLUNGEN!$C$9:$C$128,A786,SONDERZAHLUNGEN!$H$9:$H$128,"OK",SONDERZAHLUNGEN!$F$9:$F$128,"Ja")-G786))</x:f>
      </x:c>
    </x:row>
    <x:row r="787" ht="19" customHeight="1">
      <x:c r="A787" s="90" t="n">
        <x:f>MONATSBUDGET!$A$46</x:f>
        <x:v>47392</x:v>
      </x:c>
      <x:c r="B787" t="n">
        <x:f>8</x:f>
        <x:v>8</x:v>
      </x:c>
      <x:c r="C787" t="str">
        <x:f>IF($N$16="","",$N$16)</x:f>
      </x:c>
      <x:c r="D787" s="88" t="str">
        <x:f>IF(C787="","",I767)</x:f>
      </x:c>
      <x:c r="E787" s="88" t="str">
        <x:f>IF(C787="","",ROUND(D787*$P$16/12,2))</x:f>
      </x:c>
      <x:c r="F787" s="88" t="str">
        <x:f>IF(C787="","",MIN(D787+E787,$Q$16))</x:f>
      </x:c>
      <x:c r="G787" s="88" t="str">
        <x:f>IF(C787="","",MIN(MAX(0,D787+E787-F787),SUMIFS(SONDERZAHLUNGEN!$E$9:$E$128,SONDERZAHLUNGEN!$B$9:$B$128,C787,SONDERZAHLUNGEN!$C$9:$C$128,A787,SONDERZAHLUNGEN!$H$9:$H$128,"OK",SONDERZAHLUNGEN!$F$9:$F$128,"Ja")))</x:f>
      </x:c>
      <x:c r="H787" s="88" t="str">
        <x:f>IF(C787="","",MIN(MAX(0,D787+E787-F787-G787),MAX(0,IF(MONATSBUDGET!$C$46="",0,MONATSBUDGET!$C$46)-SUM(F780:F799)-SUM(H780:H786))))</x:f>
      </x:c>
      <x:c r="I787" s="88" t="str">
        <x:f>IF(C787="","",MAX(0,ROUND(D787+E787-F787-G787-H787,2)))</x:f>
      </x:c>
      <x:c r="J787" s="88" t="str">
        <x:f>IF(C787="","",F787+G787+H787)</x:f>
      </x:c>
      <x:c r="K787" s="88" t="str">
        <x:f>IF(C787="","",MAX(0,SUMIFS(SONDERZAHLUNGEN!$E$9:$E$128,SONDERZAHLUNGEN!$B$9:$B$128,C787,SONDERZAHLUNGEN!$C$9:$C$128,A787,SONDERZAHLUNGEN!$H$9:$H$128,"OK",SONDERZAHLUNGEN!$F$9:$F$128,"Ja")-G787))</x:f>
      </x:c>
    </x:row>
    <x:row r="788" ht="19" customHeight="1">
      <x:c r="A788" s="90" t="n">
        <x:f>MONATSBUDGET!$A$46</x:f>
        <x:v>47392</x:v>
      </x:c>
      <x:c r="B788" t="n">
        <x:f>9</x:f>
        <x:v>9</x:v>
      </x:c>
      <x:c r="C788" t="str">
        <x:f>IF($N$17="","",$N$17)</x:f>
      </x:c>
      <x:c r="D788" s="88" t="str">
        <x:f>IF(C788="","",I768)</x:f>
      </x:c>
      <x:c r="E788" s="88" t="str">
        <x:f>IF(C788="","",ROUND(D788*$P$17/12,2))</x:f>
      </x:c>
      <x:c r="F788" s="88" t="str">
        <x:f>IF(C788="","",MIN(D788+E788,$Q$17))</x:f>
      </x:c>
      <x:c r="G788" s="88" t="str">
        <x:f>IF(C788="","",MIN(MAX(0,D788+E788-F788),SUMIFS(SONDERZAHLUNGEN!$E$9:$E$128,SONDERZAHLUNGEN!$B$9:$B$128,C788,SONDERZAHLUNGEN!$C$9:$C$128,A788,SONDERZAHLUNGEN!$H$9:$H$128,"OK",SONDERZAHLUNGEN!$F$9:$F$128,"Ja")))</x:f>
      </x:c>
      <x:c r="H788" s="88" t="str">
        <x:f>IF(C788="","",MIN(MAX(0,D788+E788-F788-G788),MAX(0,IF(MONATSBUDGET!$C$46="",0,MONATSBUDGET!$C$46)-SUM(F780:F799)-SUM(H780:H787))))</x:f>
      </x:c>
      <x:c r="I788" s="88" t="str">
        <x:f>IF(C788="","",MAX(0,ROUND(D788+E788-F788-G788-H788,2)))</x:f>
      </x:c>
      <x:c r="J788" s="88" t="str">
        <x:f>IF(C788="","",F788+G788+H788)</x:f>
      </x:c>
      <x:c r="K788" s="88" t="str">
        <x:f>IF(C788="","",MAX(0,SUMIFS(SONDERZAHLUNGEN!$E$9:$E$128,SONDERZAHLUNGEN!$B$9:$B$128,C788,SONDERZAHLUNGEN!$C$9:$C$128,A788,SONDERZAHLUNGEN!$H$9:$H$128,"OK",SONDERZAHLUNGEN!$F$9:$F$128,"Ja")-G788))</x:f>
      </x:c>
    </x:row>
    <x:row r="789" ht="19" customHeight="1">
      <x:c r="A789" s="90" t="n">
        <x:f>MONATSBUDGET!$A$46</x:f>
        <x:v>47392</x:v>
      </x:c>
      <x:c r="B789" t="n">
        <x:f>10</x:f>
        <x:v>10</x:v>
      </x:c>
      <x:c r="C789" t="str">
        <x:f>IF($N$18="","",$N$18)</x:f>
      </x:c>
      <x:c r="D789" s="88" t="str">
        <x:f>IF(C789="","",I769)</x:f>
      </x:c>
      <x:c r="E789" s="88" t="str">
        <x:f>IF(C789="","",ROUND(D789*$P$18/12,2))</x:f>
      </x:c>
      <x:c r="F789" s="88" t="str">
        <x:f>IF(C789="","",MIN(D789+E789,$Q$18))</x:f>
      </x:c>
      <x:c r="G789" s="88" t="str">
        <x:f>IF(C789="","",MIN(MAX(0,D789+E789-F789),SUMIFS(SONDERZAHLUNGEN!$E$9:$E$128,SONDERZAHLUNGEN!$B$9:$B$128,C789,SONDERZAHLUNGEN!$C$9:$C$128,A789,SONDERZAHLUNGEN!$H$9:$H$128,"OK",SONDERZAHLUNGEN!$F$9:$F$128,"Ja")))</x:f>
      </x:c>
      <x:c r="H789" s="88" t="str">
        <x:f>IF(C789="","",MIN(MAX(0,D789+E789-F789-G789),MAX(0,IF(MONATSBUDGET!$C$46="",0,MONATSBUDGET!$C$46)-SUM(F780:F799)-SUM(H780:H788))))</x:f>
      </x:c>
      <x:c r="I789" s="88" t="str">
        <x:f>IF(C789="","",MAX(0,ROUND(D789+E789-F789-G789-H789,2)))</x:f>
      </x:c>
      <x:c r="J789" s="88" t="str">
        <x:f>IF(C789="","",F789+G789+H789)</x:f>
      </x:c>
      <x:c r="K789" s="88" t="str">
        <x:f>IF(C789="","",MAX(0,SUMIFS(SONDERZAHLUNGEN!$E$9:$E$128,SONDERZAHLUNGEN!$B$9:$B$128,C789,SONDERZAHLUNGEN!$C$9:$C$128,A789,SONDERZAHLUNGEN!$H$9:$H$128,"OK",SONDERZAHLUNGEN!$F$9:$F$128,"Ja")-G789))</x:f>
      </x:c>
    </x:row>
    <x:row r="790" ht="19" customHeight="1">
      <x:c r="A790" s="90" t="n">
        <x:f>MONATSBUDGET!$A$46</x:f>
        <x:v>47392</x:v>
      </x:c>
      <x:c r="B790" t="n">
        <x:f>11</x:f>
        <x:v>11</x:v>
      </x:c>
      <x:c r="C790" t="str">
        <x:f>IF($N$19="","",$N$19)</x:f>
      </x:c>
      <x:c r="D790" s="88" t="str">
        <x:f>IF(C790="","",I770)</x:f>
      </x:c>
      <x:c r="E790" s="88" t="str">
        <x:f>IF(C790="","",ROUND(D790*$P$19/12,2))</x:f>
      </x:c>
      <x:c r="F790" s="88" t="str">
        <x:f>IF(C790="","",MIN(D790+E790,$Q$19))</x:f>
      </x:c>
      <x:c r="G790" s="88" t="str">
        <x:f>IF(C790="","",MIN(MAX(0,D790+E790-F790),SUMIFS(SONDERZAHLUNGEN!$E$9:$E$128,SONDERZAHLUNGEN!$B$9:$B$128,C790,SONDERZAHLUNGEN!$C$9:$C$128,A790,SONDERZAHLUNGEN!$H$9:$H$128,"OK",SONDERZAHLUNGEN!$F$9:$F$128,"Ja")))</x:f>
      </x:c>
      <x:c r="H790" s="88" t="str">
        <x:f>IF(C790="","",MIN(MAX(0,D790+E790-F790-G790),MAX(0,IF(MONATSBUDGET!$C$46="",0,MONATSBUDGET!$C$46)-SUM(F780:F799)-SUM(H780:H789))))</x:f>
      </x:c>
      <x:c r="I790" s="88" t="str">
        <x:f>IF(C790="","",MAX(0,ROUND(D790+E790-F790-G790-H790,2)))</x:f>
      </x:c>
      <x:c r="J790" s="88" t="str">
        <x:f>IF(C790="","",F790+G790+H790)</x:f>
      </x:c>
      <x:c r="K790" s="88" t="str">
        <x:f>IF(C790="","",MAX(0,SUMIFS(SONDERZAHLUNGEN!$E$9:$E$128,SONDERZAHLUNGEN!$B$9:$B$128,C790,SONDERZAHLUNGEN!$C$9:$C$128,A790,SONDERZAHLUNGEN!$H$9:$H$128,"OK",SONDERZAHLUNGEN!$F$9:$F$128,"Ja")-G790))</x:f>
      </x:c>
    </x:row>
    <x:row r="791" ht="19" customHeight="1">
      <x:c r="A791" s="90" t="n">
        <x:f>MONATSBUDGET!$A$46</x:f>
        <x:v>47392</x:v>
      </x:c>
      <x:c r="B791" t="n">
        <x:f>12</x:f>
        <x:v>12</x:v>
      </x:c>
      <x:c r="C791" t="str">
        <x:f>IF($N$20="","",$N$20)</x:f>
      </x:c>
      <x:c r="D791" s="88" t="str">
        <x:f>IF(C791="","",I771)</x:f>
      </x:c>
      <x:c r="E791" s="88" t="str">
        <x:f>IF(C791="","",ROUND(D791*$P$20/12,2))</x:f>
      </x:c>
      <x:c r="F791" s="88" t="str">
        <x:f>IF(C791="","",MIN(D791+E791,$Q$20))</x:f>
      </x:c>
      <x:c r="G791" s="88" t="str">
        <x:f>IF(C791="","",MIN(MAX(0,D791+E791-F791),SUMIFS(SONDERZAHLUNGEN!$E$9:$E$128,SONDERZAHLUNGEN!$B$9:$B$128,C791,SONDERZAHLUNGEN!$C$9:$C$128,A791,SONDERZAHLUNGEN!$H$9:$H$128,"OK",SONDERZAHLUNGEN!$F$9:$F$128,"Ja")))</x:f>
      </x:c>
      <x:c r="H791" s="88" t="str">
        <x:f>IF(C791="","",MIN(MAX(0,D791+E791-F791-G791),MAX(0,IF(MONATSBUDGET!$C$46="",0,MONATSBUDGET!$C$46)-SUM(F780:F799)-SUM(H780:H790))))</x:f>
      </x:c>
      <x:c r="I791" s="88" t="str">
        <x:f>IF(C791="","",MAX(0,ROUND(D791+E791-F791-G791-H791,2)))</x:f>
      </x:c>
      <x:c r="J791" s="88" t="str">
        <x:f>IF(C791="","",F791+G791+H791)</x:f>
      </x:c>
      <x:c r="K791" s="88" t="str">
        <x:f>IF(C791="","",MAX(0,SUMIFS(SONDERZAHLUNGEN!$E$9:$E$128,SONDERZAHLUNGEN!$B$9:$B$128,C791,SONDERZAHLUNGEN!$C$9:$C$128,A791,SONDERZAHLUNGEN!$H$9:$H$128,"OK",SONDERZAHLUNGEN!$F$9:$F$128,"Ja")-G791))</x:f>
      </x:c>
    </x:row>
    <x:row r="792" ht="19" customHeight="1">
      <x:c r="A792" s="90" t="n">
        <x:f>MONATSBUDGET!$A$46</x:f>
        <x:v>47392</x:v>
      </x:c>
      <x:c r="B792" t="n">
        <x:f>13</x:f>
        <x:v>13</x:v>
      </x:c>
      <x:c r="C792" t="str">
        <x:f>IF($N$21="","",$N$21)</x:f>
      </x:c>
      <x:c r="D792" s="88" t="str">
        <x:f>IF(C792="","",I772)</x:f>
      </x:c>
      <x:c r="E792" s="88" t="str">
        <x:f>IF(C792="","",ROUND(D792*$P$21/12,2))</x:f>
      </x:c>
      <x:c r="F792" s="88" t="str">
        <x:f>IF(C792="","",MIN(D792+E792,$Q$21))</x:f>
      </x:c>
      <x:c r="G792" s="88" t="str">
        <x:f>IF(C792="","",MIN(MAX(0,D792+E792-F792),SUMIFS(SONDERZAHLUNGEN!$E$9:$E$128,SONDERZAHLUNGEN!$B$9:$B$128,C792,SONDERZAHLUNGEN!$C$9:$C$128,A792,SONDERZAHLUNGEN!$H$9:$H$128,"OK",SONDERZAHLUNGEN!$F$9:$F$128,"Ja")))</x:f>
      </x:c>
      <x:c r="H792" s="88" t="str">
        <x:f>IF(C792="","",MIN(MAX(0,D792+E792-F792-G792),MAX(0,IF(MONATSBUDGET!$C$46="",0,MONATSBUDGET!$C$46)-SUM(F780:F799)-SUM(H780:H791))))</x:f>
      </x:c>
      <x:c r="I792" s="88" t="str">
        <x:f>IF(C792="","",MAX(0,ROUND(D792+E792-F792-G792-H792,2)))</x:f>
      </x:c>
      <x:c r="J792" s="88" t="str">
        <x:f>IF(C792="","",F792+G792+H792)</x:f>
      </x:c>
      <x:c r="K792" s="88" t="str">
        <x:f>IF(C792="","",MAX(0,SUMIFS(SONDERZAHLUNGEN!$E$9:$E$128,SONDERZAHLUNGEN!$B$9:$B$128,C792,SONDERZAHLUNGEN!$C$9:$C$128,A792,SONDERZAHLUNGEN!$H$9:$H$128,"OK",SONDERZAHLUNGEN!$F$9:$F$128,"Ja")-G792))</x:f>
      </x:c>
    </x:row>
    <x:row r="793" ht="19" customHeight="1">
      <x:c r="A793" s="90" t="n">
        <x:f>MONATSBUDGET!$A$46</x:f>
        <x:v>47392</x:v>
      </x:c>
      <x:c r="B793" t="n">
        <x:f>14</x:f>
        <x:v>14</x:v>
      </x:c>
      <x:c r="C793" t="str">
        <x:f>IF($N$22="","",$N$22)</x:f>
      </x:c>
      <x:c r="D793" s="88" t="str">
        <x:f>IF(C793="","",I773)</x:f>
      </x:c>
      <x:c r="E793" s="88" t="str">
        <x:f>IF(C793="","",ROUND(D793*$P$22/12,2))</x:f>
      </x:c>
      <x:c r="F793" s="88" t="str">
        <x:f>IF(C793="","",MIN(D793+E793,$Q$22))</x:f>
      </x:c>
      <x:c r="G793" s="88" t="str">
        <x:f>IF(C793="","",MIN(MAX(0,D793+E793-F793),SUMIFS(SONDERZAHLUNGEN!$E$9:$E$128,SONDERZAHLUNGEN!$B$9:$B$128,C793,SONDERZAHLUNGEN!$C$9:$C$128,A793,SONDERZAHLUNGEN!$H$9:$H$128,"OK",SONDERZAHLUNGEN!$F$9:$F$128,"Ja")))</x:f>
      </x:c>
      <x:c r="H793" s="88" t="str">
        <x:f>IF(C793="","",MIN(MAX(0,D793+E793-F793-G793),MAX(0,IF(MONATSBUDGET!$C$46="",0,MONATSBUDGET!$C$46)-SUM(F780:F799)-SUM(H780:H792))))</x:f>
      </x:c>
      <x:c r="I793" s="88" t="str">
        <x:f>IF(C793="","",MAX(0,ROUND(D793+E793-F793-G793-H793,2)))</x:f>
      </x:c>
      <x:c r="J793" s="88" t="str">
        <x:f>IF(C793="","",F793+G793+H793)</x:f>
      </x:c>
      <x:c r="K793" s="88" t="str">
        <x:f>IF(C793="","",MAX(0,SUMIFS(SONDERZAHLUNGEN!$E$9:$E$128,SONDERZAHLUNGEN!$B$9:$B$128,C793,SONDERZAHLUNGEN!$C$9:$C$128,A793,SONDERZAHLUNGEN!$H$9:$H$128,"OK",SONDERZAHLUNGEN!$F$9:$F$128,"Ja")-G793))</x:f>
      </x:c>
    </x:row>
    <x:row r="794" ht="19" customHeight="1">
      <x:c r="A794" s="90" t="n">
        <x:f>MONATSBUDGET!$A$46</x:f>
        <x:v>47392</x:v>
      </x:c>
      <x:c r="B794" t="n">
        <x:f>15</x:f>
        <x:v>15</x:v>
      </x:c>
      <x:c r="C794" t="str">
        <x:f>IF($N$23="","",$N$23)</x:f>
      </x:c>
      <x:c r="D794" s="88" t="str">
        <x:f>IF(C794="","",I774)</x:f>
      </x:c>
      <x:c r="E794" s="88" t="str">
        <x:f>IF(C794="","",ROUND(D794*$P$23/12,2))</x:f>
      </x:c>
      <x:c r="F794" s="88" t="str">
        <x:f>IF(C794="","",MIN(D794+E794,$Q$23))</x:f>
      </x:c>
      <x:c r="G794" s="88" t="str">
        <x:f>IF(C794="","",MIN(MAX(0,D794+E794-F794),SUMIFS(SONDERZAHLUNGEN!$E$9:$E$128,SONDERZAHLUNGEN!$B$9:$B$128,C794,SONDERZAHLUNGEN!$C$9:$C$128,A794,SONDERZAHLUNGEN!$H$9:$H$128,"OK",SONDERZAHLUNGEN!$F$9:$F$128,"Ja")))</x:f>
      </x:c>
      <x:c r="H794" s="88" t="str">
        <x:f>IF(C794="","",MIN(MAX(0,D794+E794-F794-G794),MAX(0,IF(MONATSBUDGET!$C$46="",0,MONATSBUDGET!$C$46)-SUM(F780:F799)-SUM(H780:H793))))</x:f>
      </x:c>
      <x:c r="I794" s="88" t="str">
        <x:f>IF(C794="","",MAX(0,ROUND(D794+E794-F794-G794-H794,2)))</x:f>
      </x:c>
      <x:c r="J794" s="88" t="str">
        <x:f>IF(C794="","",F794+G794+H794)</x:f>
      </x:c>
      <x:c r="K794" s="88" t="str">
        <x:f>IF(C794="","",MAX(0,SUMIFS(SONDERZAHLUNGEN!$E$9:$E$128,SONDERZAHLUNGEN!$B$9:$B$128,C794,SONDERZAHLUNGEN!$C$9:$C$128,A794,SONDERZAHLUNGEN!$H$9:$H$128,"OK",SONDERZAHLUNGEN!$F$9:$F$128,"Ja")-G794))</x:f>
      </x:c>
    </x:row>
    <x:row r="795" ht="19" customHeight="1">
      <x:c r="A795" s="90" t="n">
        <x:f>MONATSBUDGET!$A$46</x:f>
        <x:v>47392</x:v>
      </x:c>
      <x:c r="B795" t="n">
        <x:f>16</x:f>
        <x:v>16</x:v>
      </x:c>
      <x:c r="C795" t="str">
        <x:f>IF($N$24="","",$N$24)</x:f>
      </x:c>
      <x:c r="D795" s="88" t="str">
        <x:f>IF(C795="","",I775)</x:f>
      </x:c>
      <x:c r="E795" s="88" t="str">
        <x:f>IF(C795="","",ROUND(D795*$P$24/12,2))</x:f>
      </x:c>
      <x:c r="F795" s="88" t="str">
        <x:f>IF(C795="","",MIN(D795+E795,$Q$24))</x:f>
      </x:c>
      <x:c r="G795" s="88" t="str">
        <x:f>IF(C795="","",MIN(MAX(0,D795+E795-F795),SUMIFS(SONDERZAHLUNGEN!$E$9:$E$128,SONDERZAHLUNGEN!$B$9:$B$128,C795,SONDERZAHLUNGEN!$C$9:$C$128,A795,SONDERZAHLUNGEN!$H$9:$H$128,"OK",SONDERZAHLUNGEN!$F$9:$F$128,"Ja")))</x:f>
      </x:c>
      <x:c r="H795" s="88" t="str">
        <x:f>IF(C795="","",MIN(MAX(0,D795+E795-F795-G795),MAX(0,IF(MONATSBUDGET!$C$46="",0,MONATSBUDGET!$C$46)-SUM(F780:F799)-SUM(H780:H794))))</x:f>
      </x:c>
      <x:c r="I795" s="88" t="str">
        <x:f>IF(C795="","",MAX(0,ROUND(D795+E795-F795-G795-H795,2)))</x:f>
      </x:c>
      <x:c r="J795" s="88" t="str">
        <x:f>IF(C795="","",F795+G795+H795)</x:f>
      </x:c>
      <x:c r="K795" s="88" t="str">
        <x:f>IF(C795="","",MAX(0,SUMIFS(SONDERZAHLUNGEN!$E$9:$E$128,SONDERZAHLUNGEN!$B$9:$B$128,C795,SONDERZAHLUNGEN!$C$9:$C$128,A795,SONDERZAHLUNGEN!$H$9:$H$128,"OK",SONDERZAHLUNGEN!$F$9:$F$128,"Ja")-G795))</x:f>
      </x:c>
    </x:row>
    <x:row r="796" ht="19" customHeight="1">
      <x:c r="A796" s="90" t="n">
        <x:f>MONATSBUDGET!$A$46</x:f>
        <x:v>47392</x:v>
      </x:c>
      <x:c r="B796" t="n">
        <x:f>17</x:f>
        <x:v>17</x:v>
      </x:c>
      <x:c r="C796" t="str">
        <x:f>IF($N$25="","",$N$25)</x:f>
      </x:c>
      <x:c r="D796" s="88" t="str">
        <x:f>IF(C796="","",I776)</x:f>
      </x:c>
      <x:c r="E796" s="88" t="str">
        <x:f>IF(C796="","",ROUND(D796*$P$25/12,2))</x:f>
      </x:c>
      <x:c r="F796" s="88" t="str">
        <x:f>IF(C796="","",MIN(D796+E796,$Q$25))</x:f>
      </x:c>
      <x:c r="G796" s="88" t="str">
        <x:f>IF(C796="","",MIN(MAX(0,D796+E796-F796),SUMIFS(SONDERZAHLUNGEN!$E$9:$E$128,SONDERZAHLUNGEN!$B$9:$B$128,C796,SONDERZAHLUNGEN!$C$9:$C$128,A796,SONDERZAHLUNGEN!$H$9:$H$128,"OK",SONDERZAHLUNGEN!$F$9:$F$128,"Ja")))</x:f>
      </x:c>
      <x:c r="H796" s="88" t="str">
        <x:f>IF(C796="","",MIN(MAX(0,D796+E796-F796-G796),MAX(0,IF(MONATSBUDGET!$C$46="",0,MONATSBUDGET!$C$46)-SUM(F780:F799)-SUM(H780:H795))))</x:f>
      </x:c>
      <x:c r="I796" s="88" t="str">
        <x:f>IF(C796="","",MAX(0,ROUND(D796+E796-F796-G796-H796,2)))</x:f>
      </x:c>
      <x:c r="J796" s="88" t="str">
        <x:f>IF(C796="","",F796+G796+H796)</x:f>
      </x:c>
      <x:c r="K796" s="88" t="str">
        <x:f>IF(C796="","",MAX(0,SUMIFS(SONDERZAHLUNGEN!$E$9:$E$128,SONDERZAHLUNGEN!$B$9:$B$128,C796,SONDERZAHLUNGEN!$C$9:$C$128,A796,SONDERZAHLUNGEN!$H$9:$H$128,"OK",SONDERZAHLUNGEN!$F$9:$F$128,"Ja")-G796))</x:f>
      </x:c>
    </x:row>
    <x:row r="797" ht="19" customHeight="1">
      <x:c r="A797" s="90" t="n">
        <x:f>MONATSBUDGET!$A$46</x:f>
        <x:v>47392</x:v>
      </x:c>
      <x:c r="B797" t="n">
        <x:f>18</x:f>
        <x:v>18</x:v>
      </x:c>
      <x:c r="C797" t="str">
        <x:f>IF($N$26="","",$N$26)</x:f>
      </x:c>
      <x:c r="D797" s="88" t="str">
        <x:f>IF(C797="","",I777)</x:f>
      </x:c>
      <x:c r="E797" s="88" t="str">
        <x:f>IF(C797="","",ROUND(D797*$P$26/12,2))</x:f>
      </x:c>
      <x:c r="F797" s="88" t="str">
        <x:f>IF(C797="","",MIN(D797+E797,$Q$26))</x:f>
      </x:c>
      <x:c r="G797" s="88" t="str">
        <x:f>IF(C797="","",MIN(MAX(0,D797+E797-F797),SUMIFS(SONDERZAHLUNGEN!$E$9:$E$128,SONDERZAHLUNGEN!$B$9:$B$128,C797,SONDERZAHLUNGEN!$C$9:$C$128,A797,SONDERZAHLUNGEN!$H$9:$H$128,"OK",SONDERZAHLUNGEN!$F$9:$F$128,"Ja")))</x:f>
      </x:c>
      <x:c r="H797" s="88" t="str">
        <x:f>IF(C797="","",MIN(MAX(0,D797+E797-F797-G797),MAX(0,IF(MONATSBUDGET!$C$46="",0,MONATSBUDGET!$C$46)-SUM(F780:F799)-SUM(H780:H796))))</x:f>
      </x:c>
      <x:c r="I797" s="88" t="str">
        <x:f>IF(C797="","",MAX(0,ROUND(D797+E797-F797-G797-H797,2)))</x:f>
      </x:c>
      <x:c r="J797" s="88" t="str">
        <x:f>IF(C797="","",F797+G797+H797)</x:f>
      </x:c>
      <x:c r="K797" s="88" t="str">
        <x:f>IF(C797="","",MAX(0,SUMIFS(SONDERZAHLUNGEN!$E$9:$E$128,SONDERZAHLUNGEN!$B$9:$B$128,C797,SONDERZAHLUNGEN!$C$9:$C$128,A797,SONDERZAHLUNGEN!$H$9:$H$128,"OK",SONDERZAHLUNGEN!$F$9:$F$128,"Ja")-G797))</x:f>
      </x:c>
    </x:row>
    <x:row r="798" ht="19" customHeight="1">
      <x:c r="A798" s="90" t="n">
        <x:f>MONATSBUDGET!$A$46</x:f>
        <x:v>47392</x:v>
      </x:c>
      <x:c r="B798" t="n">
        <x:f>19</x:f>
        <x:v>19</x:v>
      </x:c>
      <x:c r="C798" t="str">
        <x:f>IF($N$27="","",$N$27)</x:f>
      </x:c>
      <x:c r="D798" s="88" t="str">
        <x:f>IF(C798="","",I778)</x:f>
      </x:c>
      <x:c r="E798" s="88" t="str">
        <x:f>IF(C798="","",ROUND(D798*$P$27/12,2))</x:f>
      </x:c>
      <x:c r="F798" s="88" t="str">
        <x:f>IF(C798="","",MIN(D798+E798,$Q$27))</x:f>
      </x:c>
      <x:c r="G798" s="88" t="str">
        <x:f>IF(C798="","",MIN(MAX(0,D798+E798-F798),SUMIFS(SONDERZAHLUNGEN!$E$9:$E$128,SONDERZAHLUNGEN!$B$9:$B$128,C798,SONDERZAHLUNGEN!$C$9:$C$128,A798,SONDERZAHLUNGEN!$H$9:$H$128,"OK",SONDERZAHLUNGEN!$F$9:$F$128,"Ja")))</x:f>
      </x:c>
      <x:c r="H798" s="88" t="str">
        <x:f>IF(C798="","",MIN(MAX(0,D798+E798-F798-G798),MAX(0,IF(MONATSBUDGET!$C$46="",0,MONATSBUDGET!$C$46)-SUM(F780:F799)-SUM(H780:H797))))</x:f>
      </x:c>
      <x:c r="I798" s="88" t="str">
        <x:f>IF(C798="","",MAX(0,ROUND(D798+E798-F798-G798-H798,2)))</x:f>
      </x:c>
      <x:c r="J798" s="88" t="str">
        <x:f>IF(C798="","",F798+G798+H798)</x:f>
      </x:c>
      <x:c r="K798" s="88" t="str">
        <x:f>IF(C798="","",MAX(0,SUMIFS(SONDERZAHLUNGEN!$E$9:$E$128,SONDERZAHLUNGEN!$B$9:$B$128,C798,SONDERZAHLUNGEN!$C$9:$C$128,A798,SONDERZAHLUNGEN!$H$9:$H$128,"OK",SONDERZAHLUNGEN!$F$9:$F$128,"Ja")-G798))</x:f>
      </x:c>
    </x:row>
    <x:row r="799" ht="19" customHeight="1">
      <x:c r="A799" s="90" t="n">
        <x:f>MONATSBUDGET!$A$46</x:f>
        <x:v>47392</x:v>
      </x:c>
      <x:c r="B799" t="n">
        <x:f>20</x:f>
        <x:v>20</x:v>
      </x:c>
      <x:c r="C799" t="str">
        <x:f>IF($N$28="","",$N$28)</x:f>
      </x:c>
      <x:c r="D799" s="88" t="str">
        <x:f>IF(C799="","",I779)</x:f>
      </x:c>
      <x:c r="E799" s="88" t="str">
        <x:f>IF(C799="","",ROUND(D799*$P$28/12,2))</x:f>
      </x:c>
      <x:c r="F799" s="88" t="str">
        <x:f>IF(C799="","",MIN(D799+E799,$Q$28))</x:f>
      </x:c>
      <x:c r="G799" s="88" t="str">
        <x:f>IF(C799="","",MIN(MAX(0,D799+E799-F799),SUMIFS(SONDERZAHLUNGEN!$E$9:$E$128,SONDERZAHLUNGEN!$B$9:$B$128,C799,SONDERZAHLUNGEN!$C$9:$C$128,A799,SONDERZAHLUNGEN!$H$9:$H$128,"OK",SONDERZAHLUNGEN!$F$9:$F$128,"Ja")))</x:f>
      </x:c>
      <x:c r="H799" s="88" t="str">
        <x:f>IF(C799="","",MIN(MAX(0,D799+E799-F799-G799),MAX(0,IF(MONATSBUDGET!$C$46="",0,MONATSBUDGET!$C$46)-SUM(F780:F799)-SUM(H780:H798))))</x:f>
      </x:c>
      <x:c r="I799" s="88" t="str">
        <x:f>IF(C799="","",MAX(0,ROUND(D799+E799-F799-G799-H799,2)))</x:f>
      </x:c>
      <x:c r="J799" s="88" t="str">
        <x:f>IF(C799="","",F799+G799+H799)</x:f>
      </x:c>
      <x:c r="K799" s="88" t="str">
        <x:f>IF(C799="","",MAX(0,SUMIFS(SONDERZAHLUNGEN!$E$9:$E$128,SONDERZAHLUNGEN!$B$9:$B$128,C799,SONDERZAHLUNGEN!$C$9:$C$128,A799,SONDERZAHLUNGEN!$H$9:$H$128,"OK",SONDERZAHLUNGEN!$F$9:$F$128,"Ja")-G799))</x:f>
      </x:c>
    </x:row>
    <x:row r="800" ht="19" customHeight="1">
      <x:c r="A800" s="90" t="n">
        <x:f>MONATSBUDGET!$A$47</x:f>
        <x:v>47423</x:v>
      </x:c>
      <x:c r="B800" t="n">
        <x:f>1</x:f>
        <x:v>1</x:v>
      </x:c>
      <x:c r="C800" t="str">
        <x:f>IF($N$9="","",$N$9)</x:f>
      </x:c>
      <x:c r="D800" s="88" t="str">
        <x:f>IF(C800="","",I780)</x:f>
      </x:c>
      <x:c r="E800" s="88" t="str">
        <x:f>IF(C800="","",ROUND(D800*$P$9/12,2))</x:f>
      </x:c>
      <x:c r="F800" s="88" t="str">
        <x:f>IF(C800="","",MIN(D800+E800,$Q$9))</x:f>
      </x:c>
      <x:c r="G800" s="88" t="str">
        <x:f>IF(C800="","",MIN(MAX(0,D800+E800-F800),SUMIFS(SONDERZAHLUNGEN!$E$9:$E$128,SONDERZAHLUNGEN!$B$9:$B$128,C800,SONDERZAHLUNGEN!$C$9:$C$128,A800,SONDERZAHLUNGEN!$H$9:$H$128,"OK",SONDERZAHLUNGEN!$F$9:$F$128,"Ja")))</x:f>
      </x:c>
      <x:c r="H800" s="88" t="str">
        <x:f>IF(C800="","",MIN(MAX(0,D800+E800-F800-G800),MAX(0,IF(MONATSBUDGET!$C$47="",0,MONATSBUDGET!$C$47)-SUM(F800:F819)-0)))</x:f>
      </x:c>
      <x:c r="I800" s="88" t="str">
        <x:f>IF(C800="","",MAX(0,ROUND(D800+E800-F800-G800-H800,2)))</x:f>
      </x:c>
      <x:c r="J800" s="88" t="str">
        <x:f>IF(C800="","",F800+G800+H800)</x:f>
      </x:c>
      <x:c r="K800" s="88" t="str">
        <x:f>IF(C800="","",MAX(0,SUMIFS(SONDERZAHLUNGEN!$E$9:$E$128,SONDERZAHLUNGEN!$B$9:$B$128,C800,SONDERZAHLUNGEN!$C$9:$C$128,A800,SONDERZAHLUNGEN!$H$9:$H$128,"OK",SONDERZAHLUNGEN!$F$9:$F$128,"Ja")-G800))</x:f>
      </x:c>
    </x:row>
    <x:row r="801" ht="19" customHeight="1">
      <x:c r="A801" s="90" t="n">
        <x:f>MONATSBUDGET!$A$47</x:f>
        <x:v>47423</x:v>
      </x:c>
      <x:c r="B801" t="n">
        <x:f>2</x:f>
        <x:v>2</x:v>
      </x:c>
      <x:c r="C801" t="str">
        <x:f>IF($N$10="","",$N$10)</x:f>
      </x:c>
      <x:c r="D801" s="88" t="str">
        <x:f>IF(C801="","",I781)</x:f>
      </x:c>
      <x:c r="E801" s="88" t="str">
        <x:f>IF(C801="","",ROUND(D801*$P$10/12,2))</x:f>
      </x:c>
      <x:c r="F801" s="88" t="str">
        <x:f>IF(C801="","",MIN(D801+E801,$Q$10))</x:f>
      </x:c>
      <x:c r="G801" s="88" t="str">
        <x:f>IF(C801="","",MIN(MAX(0,D801+E801-F801),SUMIFS(SONDERZAHLUNGEN!$E$9:$E$128,SONDERZAHLUNGEN!$B$9:$B$128,C801,SONDERZAHLUNGEN!$C$9:$C$128,A801,SONDERZAHLUNGEN!$H$9:$H$128,"OK",SONDERZAHLUNGEN!$F$9:$F$128,"Ja")))</x:f>
      </x:c>
      <x:c r="H801" s="88" t="str">
        <x:f>IF(C801="","",MIN(MAX(0,D801+E801-F801-G801),MAX(0,IF(MONATSBUDGET!$C$47="",0,MONATSBUDGET!$C$47)-SUM(F800:F819)-SUM(H800:H800))))</x:f>
      </x:c>
      <x:c r="I801" s="88" t="str">
        <x:f>IF(C801="","",MAX(0,ROUND(D801+E801-F801-G801-H801,2)))</x:f>
      </x:c>
      <x:c r="J801" s="88" t="str">
        <x:f>IF(C801="","",F801+G801+H801)</x:f>
      </x:c>
      <x:c r="K801" s="88" t="str">
        <x:f>IF(C801="","",MAX(0,SUMIFS(SONDERZAHLUNGEN!$E$9:$E$128,SONDERZAHLUNGEN!$B$9:$B$128,C801,SONDERZAHLUNGEN!$C$9:$C$128,A801,SONDERZAHLUNGEN!$H$9:$H$128,"OK",SONDERZAHLUNGEN!$F$9:$F$128,"Ja")-G801))</x:f>
      </x:c>
    </x:row>
    <x:row r="802" ht="19" customHeight="1">
      <x:c r="A802" s="90" t="n">
        <x:f>MONATSBUDGET!$A$47</x:f>
        <x:v>47423</x:v>
      </x:c>
      <x:c r="B802" t="n">
        <x:f>3</x:f>
        <x:v>3</x:v>
      </x:c>
      <x:c r="C802" t="str">
        <x:f>IF($N$11="","",$N$11)</x:f>
      </x:c>
      <x:c r="D802" s="88" t="str">
        <x:f>IF(C802="","",I782)</x:f>
      </x:c>
      <x:c r="E802" s="88" t="str">
        <x:f>IF(C802="","",ROUND(D802*$P$11/12,2))</x:f>
      </x:c>
      <x:c r="F802" s="88" t="str">
        <x:f>IF(C802="","",MIN(D802+E802,$Q$11))</x:f>
      </x:c>
      <x:c r="G802" s="88" t="str">
        <x:f>IF(C802="","",MIN(MAX(0,D802+E802-F802),SUMIFS(SONDERZAHLUNGEN!$E$9:$E$128,SONDERZAHLUNGEN!$B$9:$B$128,C802,SONDERZAHLUNGEN!$C$9:$C$128,A802,SONDERZAHLUNGEN!$H$9:$H$128,"OK",SONDERZAHLUNGEN!$F$9:$F$128,"Ja")))</x:f>
      </x:c>
      <x:c r="H802" s="88" t="str">
        <x:f>IF(C802="","",MIN(MAX(0,D802+E802-F802-G802),MAX(0,IF(MONATSBUDGET!$C$47="",0,MONATSBUDGET!$C$47)-SUM(F800:F819)-SUM(H800:H801))))</x:f>
      </x:c>
      <x:c r="I802" s="88" t="str">
        <x:f>IF(C802="","",MAX(0,ROUND(D802+E802-F802-G802-H802,2)))</x:f>
      </x:c>
      <x:c r="J802" s="88" t="str">
        <x:f>IF(C802="","",F802+G802+H802)</x:f>
      </x:c>
      <x:c r="K802" s="88" t="str">
        <x:f>IF(C802="","",MAX(0,SUMIFS(SONDERZAHLUNGEN!$E$9:$E$128,SONDERZAHLUNGEN!$B$9:$B$128,C802,SONDERZAHLUNGEN!$C$9:$C$128,A802,SONDERZAHLUNGEN!$H$9:$H$128,"OK",SONDERZAHLUNGEN!$F$9:$F$128,"Ja")-G802))</x:f>
      </x:c>
    </x:row>
    <x:row r="803" ht="19" customHeight="1">
      <x:c r="A803" s="90" t="n">
        <x:f>MONATSBUDGET!$A$47</x:f>
        <x:v>47423</x:v>
      </x:c>
      <x:c r="B803" t="n">
        <x:f>4</x:f>
        <x:v>4</x:v>
      </x:c>
      <x:c r="C803" t="str">
        <x:f>IF($N$12="","",$N$12)</x:f>
      </x:c>
      <x:c r="D803" s="88" t="str">
        <x:f>IF(C803="","",I783)</x:f>
      </x:c>
      <x:c r="E803" s="88" t="str">
        <x:f>IF(C803="","",ROUND(D803*$P$12/12,2))</x:f>
      </x:c>
      <x:c r="F803" s="88" t="str">
        <x:f>IF(C803="","",MIN(D803+E803,$Q$12))</x:f>
      </x:c>
      <x:c r="G803" s="88" t="str">
        <x:f>IF(C803="","",MIN(MAX(0,D803+E803-F803),SUMIFS(SONDERZAHLUNGEN!$E$9:$E$128,SONDERZAHLUNGEN!$B$9:$B$128,C803,SONDERZAHLUNGEN!$C$9:$C$128,A803,SONDERZAHLUNGEN!$H$9:$H$128,"OK",SONDERZAHLUNGEN!$F$9:$F$128,"Ja")))</x:f>
      </x:c>
      <x:c r="H803" s="88" t="str">
        <x:f>IF(C803="","",MIN(MAX(0,D803+E803-F803-G803),MAX(0,IF(MONATSBUDGET!$C$47="",0,MONATSBUDGET!$C$47)-SUM(F800:F819)-SUM(H800:H802))))</x:f>
      </x:c>
      <x:c r="I803" s="88" t="str">
        <x:f>IF(C803="","",MAX(0,ROUND(D803+E803-F803-G803-H803,2)))</x:f>
      </x:c>
      <x:c r="J803" s="88" t="str">
        <x:f>IF(C803="","",F803+G803+H803)</x:f>
      </x:c>
      <x:c r="K803" s="88" t="str">
        <x:f>IF(C803="","",MAX(0,SUMIFS(SONDERZAHLUNGEN!$E$9:$E$128,SONDERZAHLUNGEN!$B$9:$B$128,C803,SONDERZAHLUNGEN!$C$9:$C$128,A803,SONDERZAHLUNGEN!$H$9:$H$128,"OK",SONDERZAHLUNGEN!$F$9:$F$128,"Ja")-G803))</x:f>
      </x:c>
    </x:row>
    <x:row r="804" ht="19" customHeight="1">
      <x:c r="A804" s="90" t="n">
        <x:f>MONATSBUDGET!$A$47</x:f>
        <x:v>47423</x:v>
      </x:c>
      <x:c r="B804" t="n">
        <x:f>5</x:f>
        <x:v>5</x:v>
      </x:c>
      <x:c r="C804" t="str">
        <x:f>IF($N$13="","",$N$13)</x:f>
      </x:c>
      <x:c r="D804" s="88" t="str">
        <x:f>IF(C804="","",I784)</x:f>
      </x:c>
      <x:c r="E804" s="88" t="str">
        <x:f>IF(C804="","",ROUND(D804*$P$13/12,2))</x:f>
      </x:c>
      <x:c r="F804" s="88" t="str">
        <x:f>IF(C804="","",MIN(D804+E804,$Q$13))</x:f>
      </x:c>
      <x:c r="G804" s="88" t="str">
        <x:f>IF(C804="","",MIN(MAX(0,D804+E804-F804),SUMIFS(SONDERZAHLUNGEN!$E$9:$E$128,SONDERZAHLUNGEN!$B$9:$B$128,C804,SONDERZAHLUNGEN!$C$9:$C$128,A804,SONDERZAHLUNGEN!$H$9:$H$128,"OK",SONDERZAHLUNGEN!$F$9:$F$128,"Ja")))</x:f>
      </x:c>
      <x:c r="H804" s="88" t="str">
        <x:f>IF(C804="","",MIN(MAX(0,D804+E804-F804-G804),MAX(0,IF(MONATSBUDGET!$C$47="",0,MONATSBUDGET!$C$47)-SUM(F800:F819)-SUM(H800:H803))))</x:f>
      </x:c>
      <x:c r="I804" s="88" t="str">
        <x:f>IF(C804="","",MAX(0,ROUND(D804+E804-F804-G804-H804,2)))</x:f>
      </x:c>
      <x:c r="J804" s="88" t="str">
        <x:f>IF(C804="","",F804+G804+H804)</x:f>
      </x:c>
      <x:c r="K804" s="88" t="str">
        <x:f>IF(C804="","",MAX(0,SUMIFS(SONDERZAHLUNGEN!$E$9:$E$128,SONDERZAHLUNGEN!$B$9:$B$128,C804,SONDERZAHLUNGEN!$C$9:$C$128,A804,SONDERZAHLUNGEN!$H$9:$H$128,"OK",SONDERZAHLUNGEN!$F$9:$F$128,"Ja")-G804))</x:f>
      </x:c>
    </x:row>
    <x:row r="805" ht="19" customHeight="1">
      <x:c r="A805" s="90" t="n">
        <x:f>MONATSBUDGET!$A$47</x:f>
        <x:v>47423</x:v>
      </x:c>
      <x:c r="B805" t="n">
        <x:f>6</x:f>
        <x:v>6</x:v>
      </x:c>
      <x:c r="C805" t="str">
        <x:f>IF($N$14="","",$N$14)</x:f>
      </x:c>
      <x:c r="D805" s="88" t="str">
        <x:f>IF(C805="","",I785)</x:f>
      </x:c>
      <x:c r="E805" s="88" t="str">
        <x:f>IF(C805="","",ROUND(D805*$P$14/12,2))</x:f>
      </x:c>
      <x:c r="F805" s="88" t="str">
        <x:f>IF(C805="","",MIN(D805+E805,$Q$14))</x:f>
      </x:c>
      <x:c r="G805" s="88" t="str">
        <x:f>IF(C805="","",MIN(MAX(0,D805+E805-F805),SUMIFS(SONDERZAHLUNGEN!$E$9:$E$128,SONDERZAHLUNGEN!$B$9:$B$128,C805,SONDERZAHLUNGEN!$C$9:$C$128,A805,SONDERZAHLUNGEN!$H$9:$H$128,"OK",SONDERZAHLUNGEN!$F$9:$F$128,"Ja")))</x:f>
      </x:c>
      <x:c r="H805" s="88" t="str">
        <x:f>IF(C805="","",MIN(MAX(0,D805+E805-F805-G805),MAX(0,IF(MONATSBUDGET!$C$47="",0,MONATSBUDGET!$C$47)-SUM(F800:F819)-SUM(H800:H804))))</x:f>
      </x:c>
      <x:c r="I805" s="88" t="str">
        <x:f>IF(C805="","",MAX(0,ROUND(D805+E805-F805-G805-H805,2)))</x:f>
      </x:c>
      <x:c r="J805" s="88" t="str">
        <x:f>IF(C805="","",F805+G805+H805)</x:f>
      </x:c>
      <x:c r="K805" s="88" t="str">
        <x:f>IF(C805="","",MAX(0,SUMIFS(SONDERZAHLUNGEN!$E$9:$E$128,SONDERZAHLUNGEN!$B$9:$B$128,C805,SONDERZAHLUNGEN!$C$9:$C$128,A805,SONDERZAHLUNGEN!$H$9:$H$128,"OK",SONDERZAHLUNGEN!$F$9:$F$128,"Ja")-G805))</x:f>
      </x:c>
    </x:row>
    <x:row r="806" ht="19" customHeight="1">
      <x:c r="A806" s="90" t="n">
        <x:f>MONATSBUDGET!$A$47</x:f>
        <x:v>47423</x:v>
      </x:c>
      <x:c r="B806" t="n">
        <x:f>7</x:f>
        <x:v>7</x:v>
      </x:c>
      <x:c r="C806" t="str">
        <x:f>IF($N$15="","",$N$15)</x:f>
      </x:c>
      <x:c r="D806" s="88" t="str">
        <x:f>IF(C806="","",I786)</x:f>
      </x:c>
      <x:c r="E806" s="88" t="str">
        <x:f>IF(C806="","",ROUND(D806*$P$15/12,2))</x:f>
      </x:c>
      <x:c r="F806" s="88" t="str">
        <x:f>IF(C806="","",MIN(D806+E806,$Q$15))</x:f>
      </x:c>
      <x:c r="G806" s="88" t="str">
        <x:f>IF(C806="","",MIN(MAX(0,D806+E806-F806),SUMIFS(SONDERZAHLUNGEN!$E$9:$E$128,SONDERZAHLUNGEN!$B$9:$B$128,C806,SONDERZAHLUNGEN!$C$9:$C$128,A806,SONDERZAHLUNGEN!$H$9:$H$128,"OK",SONDERZAHLUNGEN!$F$9:$F$128,"Ja")))</x:f>
      </x:c>
      <x:c r="H806" s="88" t="str">
        <x:f>IF(C806="","",MIN(MAX(0,D806+E806-F806-G806),MAX(0,IF(MONATSBUDGET!$C$47="",0,MONATSBUDGET!$C$47)-SUM(F800:F819)-SUM(H800:H805))))</x:f>
      </x:c>
      <x:c r="I806" s="88" t="str">
        <x:f>IF(C806="","",MAX(0,ROUND(D806+E806-F806-G806-H806,2)))</x:f>
      </x:c>
      <x:c r="J806" s="88" t="str">
        <x:f>IF(C806="","",F806+G806+H806)</x:f>
      </x:c>
      <x:c r="K806" s="88" t="str">
        <x:f>IF(C806="","",MAX(0,SUMIFS(SONDERZAHLUNGEN!$E$9:$E$128,SONDERZAHLUNGEN!$B$9:$B$128,C806,SONDERZAHLUNGEN!$C$9:$C$128,A806,SONDERZAHLUNGEN!$H$9:$H$128,"OK",SONDERZAHLUNGEN!$F$9:$F$128,"Ja")-G806))</x:f>
      </x:c>
    </x:row>
    <x:row r="807" ht="19" customHeight="1">
      <x:c r="A807" s="90" t="n">
        <x:f>MONATSBUDGET!$A$47</x:f>
        <x:v>47423</x:v>
      </x:c>
      <x:c r="B807" t="n">
        <x:f>8</x:f>
        <x:v>8</x:v>
      </x:c>
      <x:c r="C807" t="str">
        <x:f>IF($N$16="","",$N$16)</x:f>
      </x:c>
      <x:c r="D807" s="88" t="str">
        <x:f>IF(C807="","",I787)</x:f>
      </x:c>
      <x:c r="E807" s="88" t="str">
        <x:f>IF(C807="","",ROUND(D807*$P$16/12,2))</x:f>
      </x:c>
      <x:c r="F807" s="88" t="str">
        <x:f>IF(C807="","",MIN(D807+E807,$Q$16))</x:f>
      </x:c>
      <x:c r="G807" s="88" t="str">
        <x:f>IF(C807="","",MIN(MAX(0,D807+E807-F807),SUMIFS(SONDERZAHLUNGEN!$E$9:$E$128,SONDERZAHLUNGEN!$B$9:$B$128,C807,SONDERZAHLUNGEN!$C$9:$C$128,A807,SONDERZAHLUNGEN!$H$9:$H$128,"OK",SONDERZAHLUNGEN!$F$9:$F$128,"Ja")))</x:f>
      </x:c>
      <x:c r="H807" s="88" t="str">
        <x:f>IF(C807="","",MIN(MAX(0,D807+E807-F807-G807),MAX(0,IF(MONATSBUDGET!$C$47="",0,MONATSBUDGET!$C$47)-SUM(F800:F819)-SUM(H800:H806))))</x:f>
      </x:c>
      <x:c r="I807" s="88" t="str">
        <x:f>IF(C807="","",MAX(0,ROUND(D807+E807-F807-G807-H807,2)))</x:f>
      </x:c>
      <x:c r="J807" s="88" t="str">
        <x:f>IF(C807="","",F807+G807+H807)</x:f>
      </x:c>
      <x:c r="K807" s="88" t="str">
        <x:f>IF(C807="","",MAX(0,SUMIFS(SONDERZAHLUNGEN!$E$9:$E$128,SONDERZAHLUNGEN!$B$9:$B$128,C807,SONDERZAHLUNGEN!$C$9:$C$128,A807,SONDERZAHLUNGEN!$H$9:$H$128,"OK",SONDERZAHLUNGEN!$F$9:$F$128,"Ja")-G807))</x:f>
      </x:c>
    </x:row>
    <x:row r="808" ht="19" customHeight="1">
      <x:c r="A808" s="90" t="n">
        <x:f>MONATSBUDGET!$A$47</x:f>
        <x:v>47423</x:v>
      </x:c>
      <x:c r="B808" t="n">
        <x:f>9</x:f>
        <x:v>9</x:v>
      </x:c>
      <x:c r="C808" t="str">
        <x:f>IF($N$17="","",$N$17)</x:f>
      </x:c>
      <x:c r="D808" s="88" t="str">
        <x:f>IF(C808="","",I788)</x:f>
      </x:c>
      <x:c r="E808" s="88" t="str">
        <x:f>IF(C808="","",ROUND(D808*$P$17/12,2))</x:f>
      </x:c>
      <x:c r="F808" s="88" t="str">
        <x:f>IF(C808="","",MIN(D808+E808,$Q$17))</x:f>
      </x:c>
      <x:c r="G808" s="88" t="str">
        <x:f>IF(C808="","",MIN(MAX(0,D808+E808-F808),SUMIFS(SONDERZAHLUNGEN!$E$9:$E$128,SONDERZAHLUNGEN!$B$9:$B$128,C808,SONDERZAHLUNGEN!$C$9:$C$128,A808,SONDERZAHLUNGEN!$H$9:$H$128,"OK",SONDERZAHLUNGEN!$F$9:$F$128,"Ja")))</x:f>
      </x:c>
      <x:c r="H808" s="88" t="str">
        <x:f>IF(C808="","",MIN(MAX(0,D808+E808-F808-G808),MAX(0,IF(MONATSBUDGET!$C$47="",0,MONATSBUDGET!$C$47)-SUM(F800:F819)-SUM(H800:H807))))</x:f>
      </x:c>
      <x:c r="I808" s="88" t="str">
        <x:f>IF(C808="","",MAX(0,ROUND(D808+E808-F808-G808-H808,2)))</x:f>
      </x:c>
      <x:c r="J808" s="88" t="str">
        <x:f>IF(C808="","",F808+G808+H808)</x:f>
      </x:c>
      <x:c r="K808" s="88" t="str">
        <x:f>IF(C808="","",MAX(0,SUMIFS(SONDERZAHLUNGEN!$E$9:$E$128,SONDERZAHLUNGEN!$B$9:$B$128,C808,SONDERZAHLUNGEN!$C$9:$C$128,A808,SONDERZAHLUNGEN!$H$9:$H$128,"OK",SONDERZAHLUNGEN!$F$9:$F$128,"Ja")-G808))</x:f>
      </x:c>
    </x:row>
    <x:row r="809" ht="19" customHeight="1">
      <x:c r="A809" s="90" t="n">
        <x:f>MONATSBUDGET!$A$47</x:f>
        <x:v>47423</x:v>
      </x:c>
      <x:c r="B809" t="n">
        <x:f>10</x:f>
        <x:v>10</x:v>
      </x:c>
      <x:c r="C809" t="str">
        <x:f>IF($N$18="","",$N$18)</x:f>
      </x:c>
      <x:c r="D809" s="88" t="str">
        <x:f>IF(C809="","",I789)</x:f>
      </x:c>
      <x:c r="E809" s="88" t="str">
        <x:f>IF(C809="","",ROUND(D809*$P$18/12,2))</x:f>
      </x:c>
      <x:c r="F809" s="88" t="str">
        <x:f>IF(C809="","",MIN(D809+E809,$Q$18))</x:f>
      </x:c>
      <x:c r="G809" s="88" t="str">
        <x:f>IF(C809="","",MIN(MAX(0,D809+E809-F809),SUMIFS(SONDERZAHLUNGEN!$E$9:$E$128,SONDERZAHLUNGEN!$B$9:$B$128,C809,SONDERZAHLUNGEN!$C$9:$C$128,A809,SONDERZAHLUNGEN!$H$9:$H$128,"OK",SONDERZAHLUNGEN!$F$9:$F$128,"Ja")))</x:f>
      </x:c>
      <x:c r="H809" s="88" t="str">
        <x:f>IF(C809="","",MIN(MAX(0,D809+E809-F809-G809),MAX(0,IF(MONATSBUDGET!$C$47="",0,MONATSBUDGET!$C$47)-SUM(F800:F819)-SUM(H800:H808))))</x:f>
      </x:c>
      <x:c r="I809" s="88" t="str">
        <x:f>IF(C809="","",MAX(0,ROUND(D809+E809-F809-G809-H809,2)))</x:f>
      </x:c>
      <x:c r="J809" s="88" t="str">
        <x:f>IF(C809="","",F809+G809+H809)</x:f>
      </x:c>
      <x:c r="K809" s="88" t="str">
        <x:f>IF(C809="","",MAX(0,SUMIFS(SONDERZAHLUNGEN!$E$9:$E$128,SONDERZAHLUNGEN!$B$9:$B$128,C809,SONDERZAHLUNGEN!$C$9:$C$128,A809,SONDERZAHLUNGEN!$H$9:$H$128,"OK",SONDERZAHLUNGEN!$F$9:$F$128,"Ja")-G809))</x:f>
      </x:c>
    </x:row>
    <x:row r="810" ht="19" customHeight="1">
      <x:c r="A810" s="90" t="n">
        <x:f>MONATSBUDGET!$A$47</x:f>
        <x:v>47423</x:v>
      </x:c>
      <x:c r="B810" t="n">
        <x:f>11</x:f>
        <x:v>11</x:v>
      </x:c>
      <x:c r="C810" t="str">
        <x:f>IF($N$19="","",$N$19)</x:f>
      </x:c>
      <x:c r="D810" s="88" t="str">
        <x:f>IF(C810="","",I790)</x:f>
      </x:c>
      <x:c r="E810" s="88" t="str">
        <x:f>IF(C810="","",ROUND(D810*$P$19/12,2))</x:f>
      </x:c>
      <x:c r="F810" s="88" t="str">
        <x:f>IF(C810="","",MIN(D810+E810,$Q$19))</x:f>
      </x:c>
      <x:c r="G810" s="88" t="str">
        <x:f>IF(C810="","",MIN(MAX(0,D810+E810-F810),SUMIFS(SONDERZAHLUNGEN!$E$9:$E$128,SONDERZAHLUNGEN!$B$9:$B$128,C810,SONDERZAHLUNGEN!$C$9:$C$128,A810,SONDERZAHLUNGEN!$H$9:$H$128,"OK",SONDERZAHLUNGEN!$F$9:$F$128,"Ja")))</x:f>
      </x:c>
      <x:c r="H810" s="88" t="str">
        <x:f>IF(C810="","",MIN(MAX(0,D810+E810-F810-G810),MAX(0,IF(MONATSBUDGET!$C$47="",0,MONATSBUDGET!$C$47)-SUM(F800:F819)-SUM(H800:H809))))</x:f>
      </x:c>
      <x:c r="I810" s="88" t="str">
        <x:f>IF(C810="","",MAX(0,ROUND(D810+E810-F810-G810-H810,2)))</x:f>
      </x:c>
      <x:c r="J810" s="88" t="str">
        <x:f>IF(C810="","",F810+G810+H810)</x:f>
      </x:c>
      <x:c r="K810" s="88" t="str">
        <x:f>IF(C810="","",MAX(0,SUMIFS(SONDERZAHLUNGEN!$E$9:$E$128,SONDERZAHLUNGEN!$B$9:$B$128,C810,SONDERZAHLUNGEN!$C$9:$C$128,A810,SONDERZAHLUNGEN!$H$9:$H$128,"OK",SONDERZAHLUNGEN!$F$9:$F$128,"Ja")-G810))</x:f>
      </x:c>
    </x:row>
    <x:row r="811" ht="19" customHeight="1">
      <x:c r="A811" s="90" t="n">
        <x:f>MONATSBUDGET!$A$47</x:f>
        <x:v>47423</x:v>
      </x:c>
      <x:c r="B811" t="n">
        <x:f>12</x:f>
        <x:v>12</x:v>
      </x:c>
      <x:c r="C811" t="str">
        <x:f>IF($N$20="","",$N$20)</x:f>
      </x:c>
      <x:c r="D811" s="88" t="str">
        <x:f>IF(C811="","",I791)</x:f>
      </x:c>
      <x:c r="E811" s="88" t="str">
        <x:f>IF(C811="","",ROUND(D811*$P$20/12,2))</x:f>
      </x:c>
      <x:c r="F811" s="88" t="str">
        <x:f>IF(C811="","",MIN(D811+E811,$Q$20))</x:f>
      </x:c>
      <x:c r="G811" s="88" t="str">
        <x:f>IF(C811="","",MIN(MAX(0,D811+E811-F811),SUMIFS(SONDERZAHLUNGEN!$E$9:$E$128,SONDERZAHLUNGEN!$B$9:$B$128,C811,SONDERZAHLUNGEN!$C$9:$C$128,A811,SONDERZAHLUNGEN!$H$9:$H$128,"OK",SONDERZAHLUNGEN!$F$9:$F$128,"Ja")))</x:f>
      </x:c>
      <x:c r="H811" s="88" t="str">
        <x:f>IF(C811="","",MIN(MAX(0,D811+E811-F811-G811),MAX(0,IF(MONATSBUDGET!$C$47="",0,MONATSBUDGET!$C$47)-SUM(F800:F819)-SUM(H800:H810))))</x:f>
      </x:c>
      <x:c r="I811" s="88" t="str">
        <x:f>IF(C811="","",MAX(0,ROUND(D811+E811-F811-G811-H811,2)))</x:f>
      </x:c>
      <x:c r="J811" s="88" t="str">
        <x:f>IF(C811="","",F811+G811+H811)</x:f>
      </x:c>
      <x:c r="K811" s="88" t="str">
        <x:f>IF(C811="","",MAX(0,SUMIFS(SONDERZAHLUNGEN!$E$9:$E$128,SONDERZAHLUNGEN!$B$9:$B$128,C811,SONDERZAHLUNGEN!$C$9:$C$128,A811,SONDERZAHLUNGEN!$H$9:$H$128,"OK",SONDERZAHLUNGEN!$F$9:$F$128,"Ja")-G811))</x:f>
      </x:c>
    </x:row>
    <x:row r="812" ht="19" customHeight="1">
      <x:c r="A812" s="90" t="n">
        <x:f>MONATSBUDGET!$A$47</x:f>
        <x:v>47423</x:v>
      </x:c>
      <x:c r="B812" t="n">
        <x:f>13</x:f>
        <x:v>13</x:v>
      </x:c>
      <x:c r="C812" t="str">
        <x:f>IF($N$21="","",$N$21)</x:f>
      </x:c>
      <x:c r="D812" s="88" t="str">
        <x:f>IF(C812="","",I792)</x:f>
      </x:c>
      <x:c r="E812" s="88" t="str">
        <x:f>IF(C812="","",ROUND(D812*$P$21/12,2))</x:f>
      </x:c>
      <x:c r="F812" s="88" t="str">
        <x:f>IF(C812="","",MIN(D812+E812,$Q$21))</x:f>
      </x:c>
      <x:c r="G812" s="88" t="str">
        <x:f>IF(C812="","",MIN(MAX(0,D812+E812-F812),SUMIFS(SONDERZAHLUNGEN!$E$9:$E$128,SONDERZAHLUNGEN!$B$9:$B$128,C812,SONDERZAHLUNGEN!$C$9:$C$128,A812,SONDERZAHLUNGEN!$H$9:$H$128,"OK",SONDERZAHLUNGEN!$F$9:$F$128,"Ja")))</x:f>
      </x:c>
      <x:c r="H812" s="88" t="str">
        <x:f>IF(C812="","",MIN(MAX(0,D812+E812-F812-G812),MAX(0,IF(MONATSBUDGET!$C$47="",0,MONATSBUDGET!$C$47)-SUM(F800:F819)-SUM(H800:H811))))</x:f>
      </x:c>
      <x:c r="I812" s="88" t="str">
        <x:f>IF(C812="","",MAX(0,ROUND(D812+E812-F812-G812-H812,2)))</x:f>
      </x:c>
      <x:c r="J812" s="88" t="str">
        <x:f>IF(C812="","",F812+G812+H812)</x:f>
      </x:c>
      <x:c r="K812" s="88" t="str">
        <x:f>IF(C812="","",MAX(0,SUMIFS(SONDERZAHLUNGEN!$E$9:$E$128,SONDERZAHLUNGEN!$B$9:$B$128,C812,SONDERZAHLUNGEN!$C$9:$C$128,A812,SONDERZAHLUNGEN!$H$9:$H$128,"OK",SONDERZAHLUNGEN!$F$9:$F$128,"Ja")-G812))</x:f>
      </x:c>
    </x:row>
    <x:row r="813" ht="19" customHeight="1">
      <x:c r="A813" s="90" t="n">
        <x:f>MONATSBUDGET!$A$47</x:f>
        <x:v>47423</x:v>
      </x:c>
      <x:c r="B813" t="n">
        <x:f>14</x:f>
        <x:v>14</x:v>
      </x:c>
      <x:c r="C813" t="str">
        <x:f>IF($N$22="","",$N$22)</x:f>
      </x:c>
      <x:c r="D813" s="88" t="str">
        <x:f>IF(C813="","",I793)</x:f>
      </x:c>
      <x:c r="E813" s="88" t="str">
        <x:f>IF(C813="","",ROUND(D813*$P$22/12,2))</x:f>
      </x:c>
      <x:c r="F813" s="88" t="str">
        <x:f>IF(C813="","",MIN(D813+E813,$Q$22))</x:f>
      </x:c>
      <x:c r="G813" s="88" t="str">
        <x:f>IF(C813="","",MIN(MAX(0,D813+E813-F813),SUMIFS(SONDERZAHLUNGEN!$E$9:$E$128,SONDERZAHLUNGEN!$B$9:$B$128,C813,SONDERZAHLUNGEN!$C$9:$C$128,A813,SONDERZAHLUNGEN!$H$9:$H$128,"OK",SONDERZAHLUNGEN!$F$9:$F$128,"Ja")))</x:f>
      </x:c>
      <x:c r="H813" s="88" t="str">
        <x:f>IF(C813="","",MIN(MAX(0,D813+E813-F813-G813),MAX(0,IF(MONATSBUDGET!$C$47="",0,MONATSBUDGET!$C$47)-SUM(F800:F819)-SUM(H800:H812))))</x:f>
      </x:c>
      <x:c r="I813" s="88" t="str">
        <x:f>IF(C813="","",MAX(0,ROUND(D813+E813-F813-G813-H813,2)))</x:f>
      </x:c>
      <x:c r="J813" s="88" t="str">
        <x:f>IF(C813="","",F813+G813+H813)</x:f>
      </x:c>
      <x:c r="K813" s="88" t="str">
        <x:f>IF(C813="","",MAX(0,SUMIFS(SONDERZAHLUNGEN!$E$9:$E$128,SONDERZAHLUNGEN!$B$9:$B$128,C813,SONDERZAHLUNGEN!$C$9:$C$128,A813,SONDERZAHLUNGEN!$H$9:$H$128,"OK",SONDERZAHLUNGEN!$F$9:$F$128,"Ja")-G813))</x:f>
      </x:c>
    </x:row>
    <x:row r="814" ht="19" customHeight="1">
      <x:c r="A814" s="90" t="n">
        <x:f>MONATSBUDGET!$A$47</x:f>
        <x:v>47423</x:v>
      </x:c>
      <x:c r="B814" t="n">
        <x:f>15</x:f>
        <x:v>15</x:v>
      </x:c>
      <x:c r="C814" t="str">
        <x:f>IF($N$23="","",$N$23)</x:f>
      </x:c>
      <x:c r="D814" s="88" t="str">
        <x:f>IF(C814="","",I794)</x:f>
      </x:c>
      <x:c r="E814" s="88" t="str">
        <x:f>IF(C814="","",ROUND(D814*$P$23/12,2))</x:f>
      </x:c>
      <x:c r="F814" s="88" t="str">
        <x:f>IF(C814="","",MIN(D814+E814,$Q$23))</x:f>
      </x:c>
      <x:c r="G814" s="88" t="str">
        <x:f>IF(C814="","",MIN(MAX(0,D814+E814-F814),SUMIFS(SONDERZAHLUNGEN!$E$9:$E$128,SONDERZAHLUNGEN!$B$9:$B$128,C814,SONDERZAHLUNGEN!$C$9:$C$128,A814,SONDERZAHLUNGEN!$H$9:$H$128,"OK",SONDERZAHLUNGEN!$F$9:$F$128,"Ja")))</x:f>
      </x:c>
      <x:c r="H814" s="88" t="str">
        <x:f>IF(C814="","",MIN(MAX(0,D814+E814-F814-G814),MAX(0,IF(MONATSBUDGET!$C$47="",0,MONATSBUDGET!$C$47)-SUM(F800:F819)-SUM(H800:H813))))</x:f>
      </x:c>
      <x:c r="I814" s="88" t="str">
        <x:f>IF(C814="","",MAX(0,ROUND(D814+E814-F814-G814-H814,2)))</x:f>
      </x:c>
      <x:c r="J814" s="88" t="str">
        <x:f>IF(C814="","",F814+G814+H814)</x:f>
      </x:c>
      <x:c r="K814" s="88" t="str">
        <x:f>IF(C814="","",MAX(0,SUMIFS(SONDERZAHLUNGEN!$E$9:$E$128,SONDERZAHLUNGEN!$B$9:$B$128,C814,SONDERZAHLUNGEN!$C$9:$C$128,A814,SONDERZAHLUNGEN!$H$9:$H$128,"OK",SONDERZAHLUNGEN!$F$9:$F$128,"Ja")-G814))</x:f>
      </x:c>
    </x:row>
    <x:row r="815" ht="19" customHeight="1">
      <x:c r="A815" s="90" t="n">
        <x:f>MONATSBUDGET!$A$47</x:f>
        <x:v>47423</x:v>
      </x:c>
      <x:c r="B815" t="n">
        <x:f>16</x:f>
        <x:v>16</x:v>
      </x:c>
      <x:c r="C815" t="str">
        <x:f>IF($N$24="","",$N$24)</x:f>
      </x:c>
      <x:c r="D815" s="88" t="str">
        <x:f>IF(C815="","",I795)</x:f>
      </x:c>
      <x:c r="E815" s="88" t="str">
        <x:f>IF(C815="","",ROUND(D815*$P$24/12,2))</x:f>
      </x:c>
      <x:c r="F815" s="88" t="str">
        <x:f>IF(C815="","",MIN(D815+E815,$Q$24))</x:f>
      </x:c>
      <x:c r="G815" s="88" t="str">
        <x:f>IF(C815="","",MIN(MAX(0,D815+E815-F815),SUMIFS(SONDERZAHLUNGEN!$E$9:$E$128,SONDERZAHLUNGEN!$B$9:$B$128,C815,SONDERZAHLUNGEN!$C$9:$C$128,A815,SONDERZAHLUNGEN!$H$9:$H$128,"OK",SONDERZAHLUNGEN!$F$9:$F$128,"Ja")))</x:f>
      </x:c>
      <x:c r="H815" s="88" t="str">
        <x:f>IF(C815="","",MIN(MAX(0,D815+E815-F815-G815),MAX(0,IF(MONATSBUDGET!$C$47="",0,MONATSBUDGET!$C$47)-SUM(F800:F819)-SUM(H800:H814))))</x:f>
      </x:c>
      <x:c r="I815" s="88" t="str">
        <x:f>IF(C815="","",MAX(0,ROUND(D815+E815-F815-G815-H815,2)))</x:f>
      </x:c>
      <x:c r="J815" s="88" t="str">
        <x:f>IF(C815="","",F815+G815+H815)</x:f>
      </x:c>
      <x:c r="K815" s="88" t="str">
        <x:f>IF(C815="","",MAX(0,SUMIFS(SONDERZAHLUNGEN!$E$9:$E$128,SONDERZAHLUNGEN!$B$9:$B$128,C815,SONDERZAHLUNGEN!$C$9:$C$128,A815,SONDERZAHLUNGEN!$H$9:$H$128,"OK",SONDERZAHLUNGEN!$F$9:$F$128,"Ja")-G815))</x:f>
      </x:c>
    </x:row>
    <x:row r="816" ht="19" customHeight="1">
      <x:c r="A816" s="90" t="n">
        <x:f>MONATSBUDGET!$A$47</x:f>
        <x:v>47423</x:v>
      </x:c>
      <x:c r="B816" t="n">
        <x:f>17</x:f>
        <x:v>17</x:v>
      </x:c>
      <x:c r="C816" t="str">
        <x:f>IF($N$25="","",$N$25)</x:f>
      </x:c>
      <x:c r="D816" s="88" t="str">
        <x:f>IF(C816="","",I796)</x:f>
      </x:c>
      <x:c r="E816" s="88" t="str">
        <x:f>IF(C816="","",ROUND(D816*$P$25/12,2))</x:f>
      </x:c>
      <x:c r="F816" s="88" t="str">
        <x:f>IF(C816="","",MIN(D816+E816,$Q$25))</x:f>
      </x:c>
      <x:c r="G816" s="88" t="str">
        <x:f>IF(C816="","",MIN(MAX(0,D816+E816-F816),SUMIFS(SONDERZAHLUNGEN!$E$9:$E$128,SONDERZAHLUNGEN!$B$9:$B$128,C816,SONDERZAHLUNGEN!$C$9:$C$128,A816,SONDERZAHLUNGEN!$H$9:$H$128,"OK",SONDERZAHLUNGEN!$F$9:$F$128,"Ja")))</x:f>
      </x:c>
      <x:c r="H816" s="88" t="str">
        <x:f>IF(C816="","",MIN(MAX(0,D816+E816-F816-G816),MAX(0,IF(MONATSBUDGET!$C$47="",0,MONATSBUDGET!$C$47)-SUM(F800:F819)-SUM(H800:H815))))</x:f>
      </x:c>
      <x:c r="I816" s="88" t="str">
        <x:f>IF(C816="","",MAX(0,ROUND(D816+E816-F816-G816-H816,2)))</x:f>
      </x:c>
      <x:c r="J816" s="88" t="str">
        <x:f>IF(C816="","",F816+G816+H816)</x:f>
      </x:c>
      <x:c r="K816" s="88" t="str">
        <x:f>IF(C816="","",MAX(0,SUMIFS(SONDERZAHLUNGEN!$E$9:$E$128,SONDERZAHLUNGEN!$B$9:$B$128,C816,SONDERZAHLUNGEN!$C$9:$C$128,A816,SONDERZAHLUNGEN!$H$9:$H$128,"OK",SONDERZAHLUNGEN!$F$9:$F$128,"Ja")-G816))</x:f>
      </x:c>
    </x:row>
    <x:row r="817" ht="19" customHeight="1">
      <x:c r="A817" s="90" t="n">
        <x:f>MONATSBUDGET!$A$47</x:f>
        <x:v>47423</x:v>
      </x:c>
      <x:c r="B817" t="n">
        <x:f>18</x:f>
        <x:v>18</x:v>
      </x:c>
      <x:c r="C817" t="str">
        <x:f>IF($N$26="","",$N$26)</x:f>
      </x:c>
      <x:c r="D817" s="88" t="str">
        <x:f>IF(C817="","",I797)</x:f>
      </x:c>
      <x:c r="E817" s="88" t="str">
        <x:f>IF(C817="","",ROUND(D817*$P$26/12,2))</x:f>
      </x:c>
      <x:c r="F817" s="88" t="str">
        <x:f>IF(C817="","",MIN(D817+E817,$Q$26))</x:f>
      </x:c>
      <x:c r="G817" s="88" t="str">
        <x:f>IF(C817="","",MIN(MAX(0,D817+E817-F817),SUMIFS(SONDERZAHLUNGEN!$E$9:$E$128,SONDERZAHLUNGEN!$B$9:$B$128,C817,SONDERZAHLUNGEN!$C$9:$C$128,A817,SONDERZAHLUNGEN!$H$9:$H$128,"OK",SONDERZAHLUNGEN!$F$9:$F$128,"Ja")))</x:f>
      </x:c>
      <x:c r="H817" s="88" t="str">
        <x:f>IF(C817="","",MIN(MAX(0,D817+E817-F817-G817),MAX(0,IF(MONATSBUDGET!$C$47="",0,MONATSBUDGET!$C$47)-SUM(F800:F819)-SUM(H800:H816))))</x:f>
      </x:c>
      <x:c r="I817" s="88" t="str">
        <x:f>IF(C817="","",MAX(0,ROUND(D817+E817-F817-G817-H817,2)))</x:f>
      </x:c>
      <x:c r="J817" s="88" t="str">
        <x:f>IF(C817="","",F817+G817+H817)</x:f>
      </x:c>
      <x:c r="K817" s="88" t="str">
        <x:f>IF(C817="","",MAX(0,SUMIFS(SONDERZAHLUNGEN!$E$9:$E$128,SONDERZAHLUNGEN!$B$9:$B$128,C817,SONDERZAHLUNGEN!$C$9:$C$128,A817,SONDERZAHLUNGEN!$H$9:$H$128,"OK",SONDERZAHLUNGEN!$F$9:$F$128,"Ja")-G817))</x:f>
      </x:c>
    </x:row>
    <x:row r="818" ht="19" customHeight="1">
      <x:c r="A818" s="90" t="n">
        <x:f>MONATSBUDGET!$A$47</x:f>
        <x:v>47423</x:v>
      </x:c>
      <x:c r="B818" t="n">
        <x:f>19</x:f>
        <x:v>19</x:v>
      </x:c>
      <x:c r="C818" t="str">
        <x:f>IF($N$27="","",$N$27)</x:f>
      </x:c>
      <x:c r="D818" s="88" t="str">
        <x:f>IF(C818="","",I798)</x:f>
      </x:c>
      <x:c r="E818" s="88" t="str">
        <x:f>IF(C818="","",ROUND(D818*$P$27/12,2))</x:f>
      </x:c>
      <x:c r="F818" s="88" t="str">
        <x:f>IF(C818="","",MIN(D818+E818,$Q$27))</x:f>
      </x:c>
      <x:c r="G818" s="88" t="str">
        <x:f>IF(C818="","",MIN(MAX(0,D818+E818-F818),SUMIFS(SONDERZAHLUNGEN!$E$9:$E$128,SONDERZAHLUNGEN!$B$9:$B$128,C818,SONDERZAHLUNGEN!$C$9:$C$128,A818,SONDERZAHLUNGEN!$H$9:$H$128,"OK",SONDERZAHLUNGEN!$F$9:$F$128,"Ja")))</x:f>
      </x:c>
      <x:c r="H818" s="88" t="str">
        <x:f>IF(C818="","",MIN(MAX(0,D818+E818-F818-G818),MAX(0,IF(MONATSBUDGET!$C$47="",0,MONATSBUDGET!$C$47)-SUM(F800:F819)-SUM(H800:H817))))</x:f>
      </x:c>
      <x:c r="I818" s="88" t="str">
        <x:f>IF(C818="","",MAX(0,ROUND(D818+E818-F818-G818-H818,2)))</x:f>
      </x:c>
      <x:c r="J818" s="88" t="str">
        <x:f>IF(C818="","",F818+G818+H818)</x:f>
      </x:c>
      <x:c r="K818" s="88" t="str">
        <x:f>IF(C818="","",MAX(0,SUMIFS(SONDERZAHLUNGEN!$E$9:$E$128,SONDERZAHLUNGEN!$B$9:$B$128,C818,SONDERZAHLUNGEN!$C$9:$C$128,A818,SONDERZAHLUNGEN!$H$9:$H$128,"OK",SONDERZAHLUNGEN!$F$9:$F$128,"Ja")-G818))</x:f>
      </x:c>
    </x:row>
    <x:row r="819" ht="19" customHeight="1">
      <x:c r="A819" s="90" t="n">
        <x:f>MONATSBUDGET!$A$47</x:f>
        <x:v>47423</x:v>
      </x:c>
      <x:c r="B819" t="n">
        <x:f>20</x:f>
        <x:v>20</x:v>
      </x:c>
      <x:c r="C819" t="str">
        <x:f>IF($N$28="","",$N$28)</x:f>
      </x:c>
      <x:c r="D819" s="88" t="str">
        <x:f>IF(C819="","",I799)</x:f>
      </x:c>
      <x:c r="E819" s="88" t="str">
        <x:f>IF(C819="","",ROUND(D819*$P$28/12,2))</x:f>
      </x:c>
      <x:c r="F819" s="88" t="str">
        <x:f>IF(C819="","",MIN(D819+E819,$Q$28))</x:f>
      </x:c>
      <x:c r="G819" s="88" t="str">
        <x:f>IF(C819="","",MIN(MAX(0,D819+E819-F819),SUMIFS(SONDERZAHLUNGEN!$E$9:$E$128,SONDERZAHLUNGEN!$B$9:$B$128,C819,SONDERZAHLUNGEN!$C$9:$C$128,A819,SONDERZAHLUNGEN!$H$9:$H$128,"OK",SONDERZAHLUNGEN!$F$9:$F$128,"Ja")))</x:f>
      </x:c>
      <x:c r="H819" s="88" t="str">
        <x:f>IF(C819="","",MIN(MAX(0,D819+E819-F819-G819),MAX(0,IF(MONATSBUDGET!$C$47="",0,MONATSBUDGET!$C$47)-SUM(F800:F819)-SUM(H800:H818))))</x:f>
      </x:c>
      <x:c r="I819" s="88" t="str">
        <x:f>IF(C819="","",MAX(0,ROUND(D819+E819-F819-G819-H819,2)))</x:f>
      </x:c>
      <x:c r="J819" s="88" t="str">
        <x:f>IF(C819="","",F819+G819+H819)</x:f>
      </x:c>
      <x:c r="K819" s="88" t="str">
        <x:f>IF(C819="","",MAX(0,SUMIFS(SONDERZAHLUNGEN!$E$9:$E$128,SONDERZAHLUNGEN!$B$9:$B$128,C819,SONDERZAHLUNGEN!$C$9:$C$128,A819,SONDERZAHLUNGEN!$H$9:$H$128,"OK",SONDERZAHLUNGEN!$F$9:$F$128,"Ja")-G819))</x:f>
      </x:c>
    </x:row>
    <x:row r="820" ht="19" customHeight="1">
      <x:c r="A820" s="90" t="n">
        <x:f>MONATSBUDGET!$A$48</x:f>
        <x:v>47453</x:v>
      </x:c>
      <x:c r="B820" t="n">
        <x:f>1</x:f>
        <x:v>1</x:v>
      </x:c>
      <x:c r="C820" t="str">
        <x:f>IF($N$9="","",$N$9)</x:f>
      </x:c>
      <x:c r="D820" s="88" t="str">
        <x:f>IF(C820="","",I800)</x:f>
      </x:c>
      <x:c r="E820" s="88" t="str">
        <x:f>IF(C820="","",ROUND(D820*$P$9/12,2))</x:f>
      </x:c>
      <x:c r="F820" s="88" t="str">
        <x:f>IF(C820="","",MIN(D820+E820,$Q$9))</x:f>
      </x:c>
      <x:c r="G820" s="88" t="str">
        <x:f>IF(C820="","",MIN(MAX(0,D820+E820-F820),SUMIFS(SONDERZAHLUNGEN!$E$9:$E$128,SONDERZAHLUNGEN!$B$9:$B$128,C820,SONDERZAHLUNGEN!$C$9:$C$128,A820,SONDERZAHLUNGEN!$H$9:$H$128,"OK",SONDERZAHLUNGEN!$F$9:$F$128,"Ja")))</x:f>
      </x:c>
      <x:c r="H820" s="88" t="str">
        <x:f>IF(C820="","",MIN(MAX(0,D820+E820-F820-G820),MAX(0,IF(MONATSBUDGET!$C$48="",0,MONATSBUDGET!$C$48)-SUM(F820:F839)-0)))</x:f>
      </x:c>
      <x:c r="I820" s="88" t="str">
        <x:f>IF(C820="","",MAX(0,ROUND(D820+E820-F820-G820-H820,2)))</x:f>
      </x:c>
      <x:c r="J820" s="88" t="str">
        <x:f>IF(C820="","",F820+G820+H820)</x:f>
      </x:c>
      <x:c r="K820" s="88" t="str">
        <x:f>IF(C820="","",MAX(0,SUMIFS(SONDERZAHLUNGEN!$E$9:$E$128,SONDERZAHLUNGEN!$B$9:$B$128,C820,SONDERZAHLUNGEN!$C$9:$C$128,A820,SONDERZAHLUNGEN!$H$9:$H$128,"OK",SONDERZAHLUNGEN!$F$9:$F$128,"Ja")-G820))</x:f>
      </x:c>
    </x:row>
    <x:row r="821" ht="19" customHeight="1">
      <x:c r="A821" s="90" t="n">
        <x:f>MONATSBUDGET!$A$48</x:f>
        <x:v>47453</x:v>
      </x:c>
      <x:c r="B821" t="n">
        <x:f>2</x:f>
        <x:v>2</x:v>
      </x:c>
      <x:c r="C821" t="str">
        <x:f>IF($N$10="","",$N$10)</x:f>
      </x:c>
      <x:c r="D821" s="88" t="str">
        <x:f>IF(C821="","",I801)</x:f>
      </x:c>
      <x:c r="E821" s="88" t="str">
        <x:f>IF(C821="","",ROUND(D821*$P$10/12,2))</x:f>
      </x:c>
      <x:c r="F821" s="88" t="str">
        <x:f>IF(C821="","",MIN(D821+E821,$Q$10))</x:f>
      </x:c>
      <x:c r="G821" s="88" t="str">
        <x:f>IF(C821="","",MIN(MAX(0,D821+E821-F821),SUMIFS(SONDERZAHLUNGEN!$E$9:$E$128,SONDERZAHLUNGEN!$B$9:$B$128,C821,SONDERZAHLUNGEN!$C$9:$C$128,A821,SONDERZAHLUNGEN!$H$9:$H$128,"OK",SONDERZAHLUNGEN!$F$9:$F$128,"Ja")))</x:f>
      </x:c>
      <x:c r="H821" s="88" t="str">
        <x:f>IF(C821="","",MIN(MAX(0,D821+E821-F821-G821),MAX(0,IF(MONATSBUDGET!$C$48="",0,MONATSBUDGET!$C$48)-SUM(F820:F839)-SUM(H820:H820))))</x:f>
      </x:c>
      <x:c r="I821" s="88" t="str">
        <x:f>IF(C821="","",MAX(0,ROUND(D821+E821-F821-G821-H821,2)))</x:f>
      </x:c>
      <x:c r="J821" s="88" t="str">
        <x:f>IF(C821="","",F821+G821+H821)</x:f>
      </x:c>
      <x:c r="K821" s="88" t="str">
        <x:f>IF(C821="","",MAX(0,SUMIFS(SONDERZAHLUNGEN!$E$9:$E$128,SONDERZAHLUNGEN!$B$9:$B$128,C821,SONDERZAHLUNGEN!$C$9:$C$128,A821,SONDERZAHLUNGEN!$H$9:$H$128,"OK",SONDERZAHLUNGEN!$F$9:$F$128,"Ja")-G821))</x:f>
      </x:c>
    </x:row>
    <x:row r="822" ht="19" customHeight="1">
      <x:c r="A822" s="90" t="n">
        <x:f>MONATSBUDGET!$A$48</x:f>
        <x:v>47453</x:v>
      </x:c>
      <x:c r="B822" t="n">
        <x:f>3</x:f>
        <x:v>3</x:v>
      </x:c>
      <x:c r="C822" t="str">
        <x:f>IF($N$11="","",$N$11)</x:f>
      </x:c>
      <x:c r="D822" s="88" t="str">
        <x:f>IF(C822="","",I802)</x:f>
      </x:c>
      <x:c r="E822" s="88" t="str">
        <x:f>IF(C822="","",ROUND(D822*$P$11/12,2))</x:f>
      </x:c>
      <x:c r="F822" s="88" t="str">
        <x:f>IF(C822="","",MIN(D822+E822,$Q$11))</x:f>
      </x:c>
      <x:c r="G822" s="88" t="str">
        <x:f>IF(C822="","",MIN(MAX(0,D822+E822-F822),SUMIFS(SONDERZAHLUNGEN!$E$9:$E$128,SONDERZAHLUNGEN!$B$9:$B$128,C822,SONDERZAHLUNGEN!$C$9:$C$128,A822,SONDERZAHLUNGEN!$H$9:$H$128,"OK",SONDERZAHLUNGEN!$F$9:$F$128,"Ja")))</x:f>
      </x:c>
      <x:c r="H822" s="88" t="str">
        <x:f>IF(C822="","",MIN(MAX(0,D822+E822-F822-G822),MAX(0,IF(MONATSBUDGET!$C$48="",0,MONATSBUDGET!$C$48)-SUM(F820:F839)-SUM(H820:H821))))</x:f>
      </x:c>
      <x:c r="I822" s="88" t="str">
        <x:f>IF(C822="","",MAX(0,ROUND(D822+E822-F822-G822-H822,2)))</x:f>
      </x:c>
      <x:c r="J822" s="88" t="str">
        <x:f>IF(C822="","",F822+G822+H822)</x:f>
      </x:c>
      <x:c r="K822" s="88" t="str">
        <x:f>IF(C822="","",MAX(0,SUMIFS(SONDERZAHLUNGEN!$E$9:$E$128,SONDERZAHLUNGEN!$B$9:$B$128,C822,SONDERZAHLUNGEN!$C$9:$C$128,A822,SONDERZAHLUNGEN!$H$9:$H$128,"OK",SONDERZAHLUNGEN!$F$9:$F$128,"Ja")-G822))</x:f>
      </x:c>
    </x:row>
    <x:row r="823" ht="19" customHeight="1">
      <x:c r="A823" s="90" t="n">
        <x:f>MONATSBUDGET!$A$48</x:f>
        <x:v>47453</x:v>
      </x:c>
      <x:c r="B823" t="n">
        <x:f>4</x:f>
        <x:v>4</x:v>
      </x:c>
      <x:c r="C823" t="str">
        <x:f>IF($N$12="","",$N$12)</x:f>
      </x:c>
      <x:c r="D823" s="88" t="str">
        <x:f>IF(C823="","",I803)</x:f>
      </x:c>
      <x:c r="E823" s="88" t="str">
        <x:f>IF(C823="","",ROUND(D823*$P$12/12,2))</x:f>
      </x:c>
      <x:c r="F823" s="88" t="str">
        <x:f>IF(C823="","",MIN(D823+E823,$Q$12))</x:f>
      </x:c>
      <x:c r="G823" s="88" t="str">
        <x:f>IF(C823="","",MIN(MAX(0,D823+E823-F823),SUMIFS(SONDERZAHLUNGEN!$E$9:$E$128,SONDERZAHLUNGEN!$B$9:$B$128,C823,SONDERZAHLUNGEN!$C$9:$C$128,A823,SONDERZAHLUNGEN!$H$9:$H$128,"OK",SONDERZAHLUNGEN!$F$9:$F$128,"Ja")))</x:f>
      </x:c>
      <x:c r="H823" s="88" t="str">
        <x:f>IF(C823="","",MIN(MAX(0,D823+E823-F823-G823),MAX(0,IF(MONATSBUDGET!$C$48="",0,MONATSBUDGET!$C$48)-SUM(F820:F839)-SUM(H820:H822))))</x:f>
      </x:c>
      <x:c r="I823" s="88" t="str">
        <x:f>IF(C823="","",MAX(0,ROUND(D823+E823-F823-G823-H823,2)))</x:f>
      </x:c>
      <x:c r="J823" s="88" t="str">
        <x:f>IF(C823="","",F823+G823+H823)</x:f>
      </x:c>
      <x:c r="K823" s="88" t="str">
        <x:f>IF(C823="","",MAX(0,SUMIFS(SONDERZAHLUNGEN!$E$9:$E$128,SONDERZAHLUNGEN!$B$9:$B$128,C823,SONDERZAHLUNGEN!$C$9:$C$128,A823,SONDERZAHLUNGEN!$H$9:$H$128,"OK",SONDERZAHLUNGEN!$F$9:$F$128,"Ja")-G823))</x:f>
      </x:c>
    </x:row>
    <x:row r="824" ht="19" customHeight="1">
      <x:c r="A824" s="90" t="n">
        <x:f>MONATSBUDGET!$A$48</x:f>
        <x:v>47453</x:v>
      </x:c>
      <x:c r="B824" t="n">
        <x:f>5</x:f>
        <x:v>5</x:v>
      </x:c>
      <x:c r="C824" t="str">
        <x:f>IF($N$13="","",$N$13)</x:f>
      </x:c>
      <x:c r="D824" s="88" t="str">
        <x:f>IF(C824="","",I804)</x:f>
      </x:c>
      <x:c r="E824" s="88" t="str">
        <x:f>IF(C824="","",ROUND(D824*$P$13/12,2))</x:f>
      </x:c>
      <x:c r="F824" s="88" t="str">
        <x:f>IF(C824="","",MIN(D824+E824,$Q$13))</x:f>
      </x:c>
      <x:c r="G824" s="88" t="str">
        <x:f>IF(C824="","",MIN(MAX(0,D824+E824-F824),SUMIFS(SONDERZAHLUNGEN!$E$9:$E$128,SONDERZAHLUNGEN!$B$9:$B$128,C824,SONDERZAHLUNGEN!$C$9:$C$128,A824,SONDERZAHLUNGEN!$H$9:$H$128,"OK",SONDERZAHLUNGEN!$F$9:$F$128,"Ja")))</x:f>
      </x:c>
      <x:c r="H824" s="88" t="str">
        <x:f>IF(C824="","",MIN(MAX(0,D824+E824-F824-G824),MAX(0,IF(MONATSBUDGET!$C$48="",0,MONATSBUDGET!$C$48)-SUM(F820:F839)-SUM(H820:H823))))</x:f>
      </x:c>
      <x:c r="I824" s="88" t="str">
        <x:f>IF(C824="","",MAX(0,ROUND(D824+E824-F824-G824-H824,2)))</x:f>
      </x:c>
      <x:c r="J824" s="88" t="str">
        <x:f>IF(C824="","",F824+G824+H824)</x:f>
      </x:c>
      <x:c r="K824" s="88" t="str">
        <x:f>IF(C824="","",MAX(0,SUMIFS(SONDERZAHLUNGEN!$E$9:$E$128,SONDERZAHLUNGEN!$B$9:$B$128,C824,SONDERZAHLUNGEN!$C$9:$C$128,A824,SONDERZAHLUNGEN!$H$9:$H$128,"OK",SONDERZAHLUNGEN!$F$9:$F$128,"Ja")-G824))</x:f>
      </x:c>
    </x:row>
    <x:row r="825" ht="19" customHeight="1">
      <x:c r="A825" s="90" t="n">
        <x:f>MONATSBUDGET!$A$48</x:f>
        <x:v>47453</x:v>
      </x:c>
      <x:c r="B825" t="n">
        <x:f>6</x:f>
        <x:v>6</x:v>
      </x:c>
      <x:c r="C825" t="str">
        <x:f>IF($N$14="","",$N$14)</x:f>
      </x:c>
      <x:c r="D825" s="88" t="str">
        <x:f>IF(C825="","",I805)</x:f>
      </x:c>
      <x:c r="E825" s="88" t="str">
        <x:f>IF(C825="","",ROUND(D825*$P$14/12,2))</x:f>
      </x:c>
      <x:c r="F825" s="88" t="str">
        <x:f>IF(C825="","",MIN(D825+E825,$Q$14))</x:f>
      </x:c>
      <x:c r="G825" s="88" t="str">
        <x:f>IF(C825="","",MIN(MAX(0,D825+E825-F825),SUMIFS(SONDERZAHLUNGEN!$E$9:$E$128,SONDERZAHLUNGEN!$B$9:$B$128,C825,SONDERZAHLUNGEN!$C$9:$C$128,A825,SONDERZAHLUNGEN!$H$9:$H$128,"OK",SONDERZAHLUNGEN!$F$9:$F$128,"Ja")))</x:f>
      </x:c>
      <x:c r="H825" s="88" t="str">
        <x:f>IF(C825="","",MIN(MAX(0,D825+E825-F825-G825),MAX(0,IF(MONATSBUDGET!$C$48="",0,MONATSBUDGET!$C$48)-SUM(F820:F839)-SUM(H820:H824))))</x:f>
      </x:c>
      <x:c r="I825" s="88" t="str">
        <x:f>IF(C825="","",MAX(0,ROUND(D825+E825-F825-G825-H825,2)))</x:f>
      </x:c>
      <x:c r="J825" s="88" t="str">
        <x:f>IF(C825="","",F825+G825+H825)</x:f>
      </x:c>
      <x:c r="K825" s="88" t="str">
        <x:f>IF(C825="","",MAX(0,SUMIFS(SONDERZAHLUNGEN!$E$9:$E$128,SONDERZAHLUNGEN!$B$9:$B$128,C825,SONDERZAHLUNGEN!$C$9:$C$128,A825,SONDERZAHLUNGEN!$H$9:$H$128,"OK",SONDERZAHLUNGEN!$F$9:$F$128,"Ja")-G825))</x:f>
      </x:c>
    </x:row>
    <x:row r="826" ht="19" customHeight="1">
      <x:c r="A826" s="90" t="n">
        <x:f>MONATSBUDGET!$A$48</x:f>
        <x:v>47453</x:v>
      </x:c>
      <x:c r="B826" t="n">
        <x:f>7</x:f>
        <x:v>7</x:v>
      </x:c>
      <x:c r="C826" t="str">
        <x:f>IF($N$15="","",$N$15)</x:f>
      </x:c>
      <x:c r="D826" s="88" t="str">
        <x:f>IF(C826="","",I806)</x:f>
      </x:c>
      <x:c r="E826" s="88" t="str">
        <x:f>IF(C826="","",ROUND(D826*$P$15/12,2))</x:f>
      </x:c>
      <x:c r="F826" s="88" t="str">
        <x:f>IF(C826="","",MIN(D826+E826,$Q$15))</x:f>
      </x:c>
      <x:c r="G826" s="88" t="str">
        <x:f>IF(C826="","",MIN(MAX(0,D826+E826-F826),SUMIFS(SONDERZAHLUNGEN!$E$9:$E$128,SONDERZAHLUNGEN!$B$9:$B$128,C826,SONDERZAHLUNGEN!$C$9:$C$128,A826,SONDERZAHLUNGEN!$H$9:$H$128,"OK",SONDERZAHLUNGEN!$F$9:$F$128,"Ja")))</x:f>
      </x:c>
      <x:c r="H826" s="88" t="str">
        <x:f>IF(C826="","",MIN(MAX(0,D826+E826-F826-G826),MAX(0,IF(MONATSBUDGET!$C$48="",0,MONATSBUDGET!$C$48)-SUM(F820:F839)-SUM(H820:H825))))</x:f>
      </x:c>
      <x:c r="I826" s="88" t="str">
        <x:f>IF(C826="","",MAX(0,ROUND(D826+E826-F826-G826-H826,2)))</x:f>
      </x:c>
      <x:c r="J826" s="88" t="str">
        <x:f>IF(C826="","",F826+G826+H826)</x:f>
      </x:c>
      <x:c r="K826" s="88" t="str">
        <x:f>IF(C826="","",MAX(0,SUMIFS(SONDERZAHLUNGEN!$E$9:$E$128,SONDERZAHLUNGEN!$B$9:$B$128,C826,SONDERZAHLUNGEN!$C$9:$C$128,A826,SONDERZAHLUNGEN!$H$9:$H$128,"OK",SONDERZAHLUNGEN!$F$9:$F$128,"Ja")-G826))</x:f>
      </x:c>
    </x:row>
    <x:row r="827" ht="19" customHeight="1">
      <x:c r="A827" s="90" t="n">
        <x:f>MONATSBUDGET!$A$48</x:f>
        <x:v>47453</x:v>
      </x:c>
      <x:c r="B827" t="n">
        <x:f>8</x:f>
        <x:v>8</x:v>
      </x:c>
      <x:c r="C827" t="str">
        <x:f>IF($N$16="","",$N$16)</x:f>
      </x:c>
      <x:c r="D827" s="88" t="str">
        <x:f>IF(C827="","",I807)</x:f>
      </x:c>
      <x:c r="E827" s="88" t="str">
        <x:f>IF(C827="","",ROUND(D827*$P$16/12,2))</x:f>
      </x:c>
      <x:c r="F827" s="88" t="str">
        <x:f>IF(C827="","",MIN(D827+E827,$Q$16))</x:f>
      </x:c>
      <x:c r="G827" s="88" t="str">
        <x:f>IF(C827="","",MIN(MAX(0,D827+E827-F827),SUMIFS(SONDERZAHLUNGEN!$E$9:$E$128,SONDERZAHLUNGEN!$B$9:$B$128,C827,SONDERZAHLUNGEN!$C$9:$C$128,A827,SONDERZAHLUNGEN!$H$9:$H$128,"OK",SONDERZAHLUNGEN!$F$9:$F$128,"Ja")))</x:f>
      </x:c>
      <x:c r="H827" s="88" t="str">
        <x:f>IF(C827="","",MIN(MAX(0,D827+E827-F827-G827),MAX(0,IF(MONATSBUDGET!$C$48="",0,MONATSBUDGET!$C$48)-SUM(F820:F839)-SUM(H820:H826))))</x:f>
      </x:c>
      <x:c r="I827" s="88" t="str">
        <x:f>IF(C827="","",MAX(0,ROUND(D827+E827-F827-G827-H827,2)))</x:f>
      </x:c>
      <x:c r="J827" s="88" t="str">
        <x:f>IF(C827="","",F827+G827+H827)</x:f>
      </x:c>
      <x:c r="K827" s="88" t="str">
        <x:f>IF(C827="","",MAX(0,SUMIFS(SONDERZAHLUNGEN!$E$9:$E$128,SONDERZAHLUNGEN!$B$9:$B$128,C827,SONDERZAHLUNGEN!$C$9:$C$128,A827,SONDERZAHLUNGEN!$H$9:$H$128,"OK",SONDERZAHLUNGEN!$F$9:$F$128,"Ja")-G827))</x:f>
      </x:c>
    </x:row>
    <x:row r="828" ht="19" customHeight="1">
      <x:c r="A828" s="90" t="n">
        <x:f>MONATSBUDGET!$A$48</x:f>
        <x:v>47453</x:v>
      </x:c>
      <x:c r="B828" t="n">
        <x:f>9</x:f>
        <x:v>9</x:v>
      </x:c>
      <x:c r="C828" t="str">
        <x:f>IF($N$17="","",$N$17)</x:f>
      </x:c>
      <x:c r="D828" s="88" t="str">
        <x:f>IF(C828="","",I808)</x:f>
      </x:c>
      <x:c r="E828" s="88" t="str">
        <x:f>IF(C828="","",ROUND(D828*$P$17/12,2))</x:f>
      </x:c>
      <x:c r="F828" s="88" t="str">
        <x:f>IF(C828="","",MIN(D828+E828,$Q$17))</x:f>
      </x:c>
      <x:c r="G828" s="88" t="str">
        <x:f>IF(C828="","",MIN(MAX(0,D828+E828-F828),SUMIFS(SONDERZAHLUNGEN!$E$9:$E$128,SONDERZAHLUNGEN!$B$9:$B$128,C828,SONDERZAHLUNGEN!$C$9:$C$128,A828,SONDERZAHLUNGEN!$H$9:$H$128,"OK",SONDERZAHLUNGEN!$F$9:$F$128,"Ja")))</x:f>
      </x:c>
      <x:c r="H828" s="88" t="str">
        <x:f>IF(C828="","",MIN(MAX(0,D828+E828-F828-G828),MAX(0,IF(MONATSBUDGET!$C$48="",0,MONATSBUDGET!$C$48)-SUM(F820:F839)-SUM(H820:H827))))</x:f>
      </x:c>
      <x:c r="I828" s="88" t="str">
        <x:f>IF(C828="","",MAX(0,ROUND(D828+E828-F828-G828-H828,2)))</x:f>
      </x:c>
      <x:c r="J828" s="88" t="str">
        <x:f>IF(C828="","",F828+G828+H828)</x:f>
      </x:c>
      <x:c r="K828" s="88" t="str">
        <x:f>IF(C828="","",MAX(0,SUMIFS(SONDERZAHLUNGEN!$E$9:$E$128,SONDERZAHLUNGEN!$B$9:$B$128,C828,SONDERZAHLUNGEN!$C$9:$C$128,A828,SONDERZAHLUNGEN!$H$9:$H$128,"OK",SONDERZAHLUNGEN!$F$9:$F$128,"Ja")-G828))</x:f>
      </x:c>
    </x:row>
    <x:row r="829" ht="19" customHeight="1">
      <x:c r="A829" s="90" t="n">
        <x:f>MONATSBUDGET!$A$48</x:f>
        <x:v>47453</x:v>
      </x:c>
      <x:c r="B829" t="n">
        <x:f>10</x:f>
        <x:v>10</x:v>
      </x:c>
      <x:c r="C829" t="str">
        <x:f>IF($N$18="","",$N$18)</x:f>
      </x:c>
      <x:c r="D829" s="88" t="str">
        <x:f>IF(C829="","",I809)</x:f>
      </x:c>
      <x:c r="E829" s="88" t="str">
        <x:f>IF(C829="","",ROUND(D829*$P$18/12,2))</x:f>
      </x:c>
      <x:c r="F829" s="88" t="str">
        <x:f>IF(C829="","",MIN(D829+E829,$Q$18))</x:f>
      </x:c>
      <x:c r="G829" s="88" t="str">
        <x:f>IF(C829="","",MIN(MAX(0,D829+E829-F829),SUMIFS(SONDERZAHLUNGEN!$E$9:$E$128,SONDERZAHLUNGEN!$B$9:$B$128,C829,SONDERZAHLUNGEN!$C$9:$C$128,A829,SONDERZAHLUNGEN!$H$9:$H$128,"OK",SONDERZAHLUNGEN!$F$9:$F$128,"Ja")))</x:f>
      </x:c>
      <x:c r="H829" s="88" t="str">
        <x:f>IF(C829="","",MIN(MAX(0,D829+E829-F829-G829),MAX(0,IF(MONATSBUDGET!$C$48="",0,MONATSBUDGET!$C$48)-SUM(F820:F839)-SUM(H820:H828))))</x:f>
      </x:c>
      <x:c r="I829" s="88" t="str">
        <x:f>IF(C829="","",MAX(0,ROUND(D829+E829-F829-G829-H829,2)))</x:f>
      </x:c>
      <x:c r="J829" s="88" t="str">
        <x:f>IF(C829="","",F829+G829+H829)</x:f>
      </x:c>
      <x:c r="K829" s="88" t="str">
        <x:f>IF(C829="","",MAX(0,SUMIFS(SONDERZAHLUNGEN!$E$9:$E$128,SONDERZAHLUNGEN!$B$9:$B$128,C829,SONDERZAHLUNGEN!$C$9:$C$128,A829,SONDERZAHLUNGEN!$H$9:$H$128,"OK",SONDERZAHLUNGEN!$F$9:$F$128,"Ja")-G829))</x:f>
      </x:c>
    </x:row>
    <x:row r="830" ht="19" customHeight="1">
      <x:c r="A830" s="90" t="n">
        <x:f>MONATSBUDGET!$A$48</x:f>
        <x:v>47453</x:v>
      </x:c>
      <x:c r="B830" t="n">
        <x:f>11</x:f>
        <x:v>11</x:v>
      </x:c>
      <x:c r="C830" t="str">
        <x:f>IF($N$19="","",$N$19)</x:f>
      </x:c>
      <x:c r="D830" s="88" t="str">
        <x:f>IF(C830="","",I810)</x:f>
      </x:c>
      <x:c r="E830" s="88" t="str">
        <x:f>IF(C830="","",ROUND(D830*$P$19/12,2))</x:f>
      </x:c>
      <x:c r="F830" s="88" t="str">
        <x:f>IF(C830="","",MIN(D830+E830,$Q$19))</x:f>
      </x:c>
      <x:c r="G830" s="88" t="str">
        <x:f>IF(C830="","",MIN(MAX(0,D830+E830-F830),SUMIFS(SONDERZAHLUNGEN!$E$9:$E$128,SONDERZAHLUNGEN!$B$9:$B$128,C830,SONDERZAHLUNGEN!$C$9:$C$128,A830,SONDERZAHLUNGEN!$H$9:$H$128,"OK",SONDERZAHLUNGEN!$F$9:$F$128,"Ja")))</x:f>
      </x:c>
      <x:c r="H830" s="88" t="str">
        <x:f>IF(C830="","",MIN(MAX(0,D830+E830-F830-G830),MAX(0,IF(MONATSBUDGET!$C$48="",0,MONATSBUDGET!$C$48)-SUM(F820:F839)-SUM(H820:H829))))</x:f>
      </x:c>
      <x:c r="I830" s="88" t="str">
        <x:f>IF(C830="","",MAX(0,ROUND(D830+E830-F830-G830-H830,2)))</x:f>
      </x:c>
      <x:c r="J830" s="88" t="str">
        <x:f>IF(C830="","",F830+G830+H830)</x:f>
      </x:c>
      <x:c r="K830" s="88" t="str">
        <x:f>IF(C830="","",MAX(0,SUMIFS(SONDERZAHLUNGEN!$E$9:$E$128,SONDERZAHLUNGEN!$B$9:$B$128,C830,SONDERZAHLUNGEN!$C$9:$C$128,A830,SONDERZAHLUNGEN!$H$9:$H$128,"OK",SONDERZAHLUNGEN!$F$9:$F$128,"Ja")-G830))</x:f>
      </x:c>
    </x:row>
    <x:row r="831" ht="19" customHeight="1">
      <x:c r="A831" s="90" t="n">
        <x:f>MONATSBUDGET!$A$48</x:f>
        <x:v>47453</x:v>
      </x:c>
      <x:c r="B831" t="n">
        <x:f>12</x:f>
        <x:v>12</x:v>
      </x:c>
      <x:c r="C831" t="str">
        <x:f>IF($N$20="","",$N$20)</x:f>
      </x:c>
      <x:c r="D831" s="88" t="str">
        <x:f>IF(C831="","",I811)</x:f>
      </x:c>
      <x:c r="E831" s="88" t="str">
        <x:f>IF(C831="","",ROUND(D831*$P$20/12,2))</x:f>
      </x:c>
      <x:c r="F831" s="88" t="str">
        <x:f>IF(C831="","",MIN(D831+E831,$Q$20))</x:f>
      </x:c>
      <x:c r="G831" s="88" t="str">
        <x:f>IF(C831="","",MIN(MAX(0,D831+E831-F831),SUMIFS(SONDERZAHLUNGEN!$E$9:$E$128,SONDERZAHLUNGEN!$B$9:$B$128,C831,SONDERZAHLUNGEN!$C$9:$C$128,A831,SONDERZAHLUNGEN!$H$9:$H$128,"OK",SONDERZAHLUNGEN!$F$9:$F$128,"Ja")))</x:f>
      </x:c>
      <x:c r="H831" s="88" t="str">
        <x:f>IF(C831="","",MIN(MAX(0,D831+E831-F831-G831),MAX(0,IF(MONATSBUDGET!$C$48="",0,MONATSBUDGET!$C$48)-SUM(F820:F839)-SUM(H820:H830))))</x:f>
      </x:c>
      <x:c r="I831" s="88" t="str">
        <x:f>IF(C831="","",MAX(0,ROUND(D831+E831-F831-G831-H831,2)))</x:f>
      </x:c>
      <x:c r="J831" s="88" t="str">
        <x:f>IF(C831="","",F831+G831+H831)</x:f>
      </x:c>
      <x:c r="K831" s="88" t="str">
        <x:f>IF(C831="","",MAX(0,SUMIFS(SONDERZAHLUNGEN!$E$9:$E$128,SONDERZAHLUNGEN!$B$9:$B$128,C831,SONDERZAHLUNGEN!$C$9:$C$128,A831,SONDERZAHLUNGEN!$H$9:$H$128,"OK",SONDERZAHLUNGEN!$F$9:$F$128,"Ja")-G831))</x:f>
      </x:c>
    </x:row>
    <x:row r="832" ht="19" customHeight="1">
      <x:c r="A832" s="90" t="n">
        <x:f>MONATSBUDGET!$A$48</x:f>
        <x:v>47453</x:v>
      </x:c>
      <x:c r="B832" t="n">
        <x:f>13</x:f>
        <x:v>13</x:v>
      </x:c>
      <x:c r="C832" t="str">
        <x:f>IF($N$21="","",$N$21)</x:f>
      </x:c>
      <x:c r="D832" s="88" t="str">
        <x:f>IF(C832="","",I812)</x:f>
      </x:c>
      <x:c r="E832" s="88" t="str">
        <x:f>IF(C832="","",ROUND(D832*$P$21/12,2))</x:f>
      </x:c>
      <x:c r="F832" s="88" t="str">
        <x:f>IF(C832="","",MIN(D832+E832,$Q$21))</x:f>
      </x:c>
      <x:c r="G832" s="88" t="str">
        <x:f>IF(C832="","",MIN(MAX(0,D832+E832-F832),SUMIFS(SONDERZAHLUNGEN!$E$9:$E$128,SONDERZAHLUNGEN!$B$9:$B$128,C832,SONDERZAHLUNGEN!$C$9:$C$128,A832,SONDERZAHLUNGEN!$H$9:$H$128,"OK",SONDERZAHLUNGEN!$F$9:$F$128,"Ja")))</x:f>
      </x:c>
      <x:c r="H832" s="88" t="str">
        <x:f>IF(C832="","",MIN(MAX(0,D832+E832-F832-G832),MAX(0,IF(MONATSBUDGET!$C$48="",0,MONATSBUDGET!$C$48)-SUM(F820:F839)-SUM(H820:H831))))</x:f>
      </x:c>
      <x:c r="I832" s="88" t="str">
        <x:f>IF(C832="","",MAX(0,ROUND(D832+E832-F832-G832-H832,2)))</x:f>
      </x:c>
      <x:c r="J832" s="88" t="str">
        <x:f>IF(C832="","",F832+G832+H832)</x:f>
      </x:c>
      <x:c r="K832" s="88" t="str">
        <x:f>IF(C832="","",MAX(0,SUMIFS(SONDERZAHLUNGEN!$E$9:$E$128,SONDERZAHLUNGEN!$B$9:$B$128,C832,SONDERZAHLUNGEN!$C$9:$C$128,A832,SONDERZAHLUNGEN!$H$9:$H$128,"OK",SONDERZAHLUNGEN!$F$9:$F$128,"Ja")-G832))</x:f>
      </x:c>
    </x:row>
    <x:row r="833" ht="19" customHeight="1">
      <x:c r="A833" s="90" t="n">
        <x:f>MONATSBUDGET!$A$48</x:f>
        <x:v>47453</x:v>
      </x:c>
      <x:c r="B833" t="n">
        <x:f>14</x:f>
        <x:v>14</x:v>
      </x:c>
      <x:c r="C833" t="str">
        <x:f>IF($N$22="","",$N$22)</x:f>
      </x:c>
      <x:c r="D833" s="88" t="str">
        <x:f>IF(C833="","",I813)</x:f>
      </x:c>
      <x:c r="E833" s="88" t="str">
        <x:f>IF(C833="","",ROUND(D833*$P$22/12,2))</x:f>
      </x:c>
      <x:c r="F833" s="88" t="str">
        <x:f>IF(C833="","",MIN(D833+E833,$Q$22))</x:f>
      </x:c>
      <x:c r="G833" s="88" t="str">
        <x:f>IF(C833="","",MIN(MAX(0,D833+E833-F833),SUMIFS(SONDERZAHLUNGEN!$E$9:$E$128,SONDERZAHLUNGEN!$B$9:$B$128,C833,SONDERZAHLUNGEN!$C$9:$C$128,A833,SONDERZAHLUNGEN!$H$9:$H$128,"OK",SONDERZAHLUNGEN!$F$9:$F$128,"Ja")))</x:f>
      </x:c>
      <x:c r="H833" s="88" t="str">
        <x:f>IF(C833="","",MIN(MAX(0,D833+E833-F833-G833),MAX(0,IF(MONATSBUDGET!$C$48="",0,MONATSBUDGET!$C$48)-SUM(F820:F839)-SUM(H820:H832))))</x:f>
      </x:c>
      <x:c r="I833" s="88" t="str">
        <x:f>IF(C833="","",MAX(0,ROUND(D833+E833-F833-G833-H833,2)))</x:f>
      </x:c>
      <x:c r="J833" s="88" t="str">
        <x:f>IF(C833="","",F833+G833+H833)</x:f>
      </x:c>
      <x:c r="K833" s="88" t="str">
        <x:f>IF(C833="","",MAX(0,SUMIFS(SONDERZAHLUNGEN!$E$9:$E$128,SONDERZAHLUNGEN!$B$9:$B$128,C833,SONDERZAHLUNGEN!$C$9:$C$128,A833,SONDERZAHLUNGEN!$H$9:$H$128,"OK",SONDERZAHLUNGEN!$F$9:$F$128,"Ja")-G833))</x:f>
      </x:c>
    </x:row>
    <x:row r="834" ht="19" customHeight="1">
      <x:c r="A834" s="90" t="n">
        <x:f>MONATSBUDGET!$A$48</x:f>
        <x:v>47453</x:v>
      </x:c>
      <x:c r="B834" t="n">
        <x:f>15</x:f>
        <x:v>15</x:v>
      </x:c>
      <x:c r="C834" t="str">
        <x:f>IF($N$23="","",$N$23)</x:f>
      </x:c>
      <x:c r="D834" s="88" t="str">
        <x:f>IF(C834="","",I814)</x:f>
      </x:c>
      <x:c r="E834" s="88" t="str">
        <x:f>IF(C834="","",ROUND(D834*$P$23/12,2))</x:f>
      </x:c>
      <x:c r="F834" s="88" t="str">
        <x:f>IF(C834="","",MIN(D834+E834,$Q$23))</x:f>
      </x:c>
      <x:c r="G834" s="88" t="str">
        <x:f>IF(C834="","",MIN(MAX(0,D834+E834-F834),SUMIFS(SONDERZAHLUNGEN!$E$9:$E$128,SONDERZAHLUNGEN!$B$9:$B$128,C834,SONDERZAHLUNGEN!$C$9:$C$128,A834,SONDERZAHLUNGEN!$H$9:$H$128,"OK",SONDERZAHLUNGEN!$F$9:$F$128,"Ja")))</x:f>
      </x:c>
      <x:c r="H834" s="88" t="str">
        <x:f>IF(C834="","",MIN(MAX(0,D834+E834-F834-G834),MAX(0,IF(MONATSBUDGET!$C$48="",0,MONATSBUDGET!$C$48)-SUM(F820:F839)-SUM(H820:H833))))</x:f>
      </x:c>
      <x:c r="I834" s="88" t="str">
        <x:f>IF(C834="","",MAX(0,ROUND(D834+E834-F834-G834-H834,2)))</x:f>
      </x:c>
      <x:c r="J834" s="88" t="str">
        <x:f>IF(C834="","",F834+G834+H834)</x:f>
      </x:c>
      <x:c r="K834" s="88" t="str">
        <x:f>IF(C834="","",MAX(0,SUMIFS(SONDERZAHLUNGEN!$E$9:$E$128,SONDERZAHLUNGEN!$B$9:$B$128,C834,SONDERZAHLUNGEN!$C$9:$C$128,A834,SONDERZAHLUNGEN!$H$9:$H$128,"OK",SONDERZAHLUNGEN!$F$9:$F$128,"Ja")-G834))</x:f>
      </x:c>
    </x:row>
    <x:row r="835" ht="19" customHeight="1">
      <x:c r="A835" s="90" t="n">
        <x:f>MONATSBUDGET!$A$48</x:f>
        <x:v>47453</x:v>
      </x:c>
      <x:c r="B835" t="n">
        <x:f>16</x:f>
        <x:v>16</x:v>
      </x:c>
      <x:c r="C835" t="str">
        <x:f>IF($N$24="","",$N$24)</x:f>
      </x:c>
      <x:c r="D835" s="88" t="str">
        <x:f>IF(C835="","",I815)</x:f>
      </x:c>
      <x:c r="E835" s="88" t="str">
        <x:f>IF(C835="","",ROUND(D835*$P$24/12,2))</x:f>
      </x:c>
      <x:c r="F835" s="88" t="str">
        <x:f>IF(C835="","",MIN(D835+E835,$Q$24))</x:f>
      </x:c>
      <x:c r="G835" s="88" t="str">
        <x:f>IF(C835="","",MIN(MAX(0,D835+E835-F835),SUMIFS(SONDERZAHLUNGEN!$E$9:$E$128,SONDERZAHLUNGEN!$B$9:$B$128,C835,SONDERZAHLUNGEN!$C$9:$C$128,A835,SONDERZAHLUNGEN!$H$9:$H$128,"OK",SONDERZAHLUNGEN!$F$9:$F$128,"Ja")))</x:f>
      </x:c>
      <x:c r="H835" s="88" t="str">
        <x:f>IF(C835="","",MIN(MAX(0,D835+E835-F835-G835),MAX(0,IF(MONATSBUDGET!$C$48="",0,MONATSBUDGET!$C$48)-SUM(F820:F839)-SUM(H820:H834))))</x:f>
      </x:c>
      <x:c r="I835" s="88" t="str">
        <x:f>IF(C835="","",MAX(0,ROUND(D835+E835-F835-G835-H835,2)))</x:f>
      </x:c>
      <x:c r="J835" s="88" t="str">
        <x:f>IF(C835="","",F835+G835+H835)</x:f>
      </x:c>
      <x:c r="K835" s="88" t="str">
        <x:f>IF(C835="","",MAX(0,SUMIFS(SONDERZAHLUNGEN!$E$9:$E$128,SONDERZAHLUNGEN!$B$9:$B$128,C835,SONDERZAHLUNGEN!$C$9:$C$128,A835,SONDERZAHLUNGEN!$H$9:$H$128,"OK",SONDERZAHLUNGEN!$F$9:$F$128,"Ja")-G835))</x:f>
      </x:c>
    </x:row>
    <x:row r="836" ht="19" customHeight="1">
      <x:c r="A836" s="90" t="n">
        <x:f>MONATSBUDGET!$A$48</x:f>
        <x:v>47453</x:v>
      </x:c>
      <x:c r="B836" t="n">
        <x:f>17</x:f>
        <x:v>17</x:v>
      </x:c>
      <x:c r="C836" t="str">
        <x:f>IF($N$25="","",$N$25)</x:f>
      </x:c>
      <x:c r="D836" s="88" t="str">
        <x:f>IF(C836="","",I816)</x:f>
      </x:c>
      <x:c r="E836" s="88" t="str">
        <x:f>IF(C836="","",ROUND(D836*$P$25/12,2))</x:f>
      </x:c>
      <x:c r="F836" s="88" t="str">
        <x:f>IF(C836="","",MIN(D836+E836,$Q$25))</x:f>
      </x:c>
      <x:c r="G836" s="88" t="str">
        <x:f>IF(C836="","",MIN(MAX(0,D836+E836-F836),SUMIFS(SONDERZAHLUNGEN!$E$9:$E$128,SONDERZAHLUNGEN!$B$9:$B$128,C836,SONDERZAHLUNGEN!$C$9:$C$128,A836,SONDERZAHLUNGEN!$H$9:$H$128,"OK",SONDERZAHLUNGEN!$F$9:$F$128,"Ja")))</x:f>
      </x:c>
      <x:c r="H836" s="88" t="str">
        <x:f>IF(C836="","",MIN(MAX(0,D836+E836-F836-G836),MAX(0,IF(MONATSBUDGET!$C$48="",0,MONATSBUDGET!$C$48)-SUM(F820:F839)-SUM(H820:H835))))</x:f>
      </x:c>
      <x:c r="I836" s="88" t="str">
        <x:f>IF(C836="","",MAX(0,ROUND(D836+E836-F836-G836-H836,2)))</x:f>
      </x:c>
      <x:c r="J836" s="88" t="str">
        <x:f>IF(C836="","",F836+G836+H836)</x:f>
      </x:c>
      <x:c r="K836" s="88" t="str">
        <x:f>IF(C836="","",MAX(0,SUMIFS(SONDERZAHLUNGEN!$E$9:$E$128,SONDERZAHLUNGEN!$B$9:$B$128,C836,SONDERZAHLUNGEN!$C$9:$C$128,A836,SONDERZAHLUNGEN!$H$9:$H$128,"OK",SONDERZAHLUNGEN!$F$9:$F$128,"Ja")-G836))</x:f>
      </x:c>
    </x:row>
    <x:row r="837" ht="19" customHeight="1">
      <x:c r="A837" s="90" t="n">
        <x:f>MONATSBUDGET!$A$48</x:f>
        <x:v>47453</x:v>
      </x:c>
      <x:c r="B837" t="n">
        <x:f>18</x:f>
        <x:v>18</x:v>
      </x:c>
      <x:c r="C837" t="str">
        <x:f>IF($N$26="","",$N$26)</x:f>
      </x:c>
      <x:c r="D837" s="88" t="str">
        <x:f>IF(C837="","",I817)</x:f>
      </x:c>
      <x:c r="E837" s="88" t="str">
        <x:f>IF(C837="","",ROUND(D837*$P$26/12,2))</x:f>
      </x:c>
      <x:c r="F837" s="88" t="str">
        <x:f>IF(C837="","",MIN(D837+E837,$Q$26))</x:f>
      </x:c>
      <x:c r="G837" s="88" t="str">
        <x:f>IF(C837="","",MIN(MAX(0,D837+E837-F837),SUMIFS(SONDERZAHLUNGEN!$E$9:$E$128,SONDERZAHLUNGEN!$B$9:$B$128,C837,SONDERZAHLUNGEN!$C$9:$C$128,A837,SONDERZAHLUNGEN!$H$9:$H$128,"OK",SONDERZAHLUNGEN!$F$9:$F$128,"Ja")))</x:f>
      </x:c>
      <x:c r="H837" s="88" t="str">
        <x:f>IF(C837="","",MIN(MAX(0,D837+E837-F837-G837),MAX(0,IF(MONATSBUDGET!$C$48="",0,MONATSBUDGET!$C$48)-SUM(F820:F839)-SUM(H820:H836))))</x:f>
      </x:c>
      <x:c r="I837" s="88" t="str">
        <x:f>IF(C837="","",MAX(0,ROUND(D837+E837-F837-G837-H837,2)))</x:f>
      </x:c>
      <x:c r="J837" s="88" t="str">
        <x:f>IF(C837="","",F837+G837+H837)</x:f>
      </x:c>
      <x:c r="K837" s="88" t="str">
        <x:f>IF(C837="","",MAX(0,SUMIFS(SONDERZAHLUNGEN!$E$9:$E$128,SONDERZAHLUNGEN!$B$9:$B$128,C837,SONDERZAHLUNGEN!$C$9:$C$128,A837,SONDERZAHLUNGEN!$H$9:$H$128,"OK",SONDERZAHLUNGEN!$F$9:$F$128,"Ja")-G837))</x:f>
      </x:c>
    </x:row>
    <x:row r="838" ht="19" customHeight="1">
      <x:c r="A838" s="90" t="n">
        <x:f>MONATSBUDGET!$A$48</x:f>
        <x:v>47453</x:v>
      </x:c>
      <x:c r="B838" t="n">
        <x:f>19</x:f>
        <x:v>19</x:v>
      </x:c>
      <x:c r="C838" t="str">
        <x:f>IF($N$27="","",$N$27)</x:f>
      </x:c>
      <x:c r="D838" s="88" t="str">
        <x:f>IF(C838="","",I818)</x:f>
      </x:c>
      <x:c r="E838" s="88" t="str">
        <x:f>IF(C838="","",ROUND(D838*$P$27/12,2))</x:f>
      </x:c>
      <x:c r="F838" s="88" t="str">
        <x:f>IF(C838="","",MIN(D838+E838,$Q$27))</x:f>
      </x:c>
      <x:c r="G838" s="88" t="str">
        <x:f>IF(C838="","",MIN(MAX(0,D838+E838-F838),SUMIFS(SONDERZAHLUNGEN!$E$9:$E$128,SONDERZAHLUNGEN!$B$9:$B$128,C838,SONDERZAHLUNGEN!$C$9:$C$128,A838,SONDERZAHLUNGEN!$H$9:$H$128,"OK",SONDERZAHLUNGEN!$F$9:$F$128,"Ja")))</x:f>
      </x:c>
      <x:c r="H838" s="88" t="str">
        <x:f>IF(C838="","",MIN(MAX(0,D838+E838-F838-G838),MAX(0,IF(MONATSBUDGET!$C$48="",0,MONATSBUDGET!$C$48)-SUM(F820:F839)-SUM(H820:H837))))</x:f>
      </x:c>
      <x:c r="I838" s="88" t="str">
        <x:f>IF(C838="","",MAX(0,ROUND(D838+E838-F838-G838-H838,2)))</x:f>
      </x:c>
      <x:c r="J838" s="88" t="str">
        <x:f>IF(C838="","",F838+G838+H838)</x:f>
      </x:c>
      <x:c r="K838" s="88" t="str">
        <x:f>IF(C838="","",MAX(0,SUMIFS(SONDERZAHLUNGEN!$E$9:$E$128,SONDERZAHLUNGEN!$B$9:$B$128,C838,SONDERZAHLUNGEN!$C$9:$C$128,A838,SONDERZAHLUNGEN!$H$9:$H$128,"OK",SONDERZAHLUNGEN!$F$9:$F$128,"Ja")-G838))</x:f>
      </x:c>
    </x:row>
    <x:row r="839" ht="19" customHeight="1">
      <x:c r="A839" s="90" t="n">
        <x:f>MONATSBUDGET!$A$48</x:f>
        <x:v>47453</x:v>
      </x:c>
      <x:c r="B839" t="n">
        <x:f>20</x:f>
        <x:v>20</x:v>
      </x:c>
      <x:c r="C839" t="str">
        <x:f>IF($N$28="","",$N$28)</x:f>
      </x:c>
      <x:c r="D839" s="88" t="str">
        <x:f>IF(C839="","",I819)</x:f>
      </x:c>
      <x:c r="E839" s="88" t="str">
        <x:f>IF(C839="","",ROUND(D839*$P$28/12,2))</x:f>
      </x:c>
      <x:c r="F839" s="88" t="str">
        <x:f>IF(C839="","",MIN(D839+E839,$Q$28))</x:f>
      </x:c>
      <x:c r="G839" s="88" t="str">
        <x:f>IF(C839="","",MIN(MAX(0,D839+E839-F839),SUMIFS(SONDERZAHLUNGEN!$E$9:$E$128,SONDERZAHLUNGEN!$B$9:$B$128,C839,SONDERZAHLUNGEN!$C$9:$C$128,A839,SONDERZAHLUNGEN!$H$9:$H$128,"OK",SONDERZAHLUNGEN!$F$9:$F$128,"Ja")))</x:f>
      </x:c>
      <x:c r="H839" s="88" t="str">
        <x:f>IF(C839="","",MIN(MAX(0,D839+E839-F839-G839),MAX(0,IF(MONATSBUDGET!$C$48="",0,MONATSBUDGET!$C$48)-SUM(F820:F839)-SUM(H820:H838))))</x:f>
      </x:c>
      <x:c r="I839" s="88" t="str">
        <x:f>IF(C839="","",MAX(0,ROUND(D839+E839-F839-G839-H839,2)))</x:f>
      </x:c>
      <x:c r="J839" s="88" t="str">
        <x:f>IF(C839="","",F839+G839+H839)</x:f>
      </x:c>
      <x:c r="K839" s="88" t="str">
        <x:f>IF(C839="","",MAX(0,SUMIFS(SONDERZAHLUNGEN!$E$9:$E$128,SONDERZAHLUNGEN!$B$9:$B$128,C839,SONDERZAHLUNGEN!$C$9:$C$128,A839,SONDERZAHLUNGEN!$H$9:$H$128,"OK",SONDERZAHLUNGEN!$F$9:$F$128,"Ja")-G839))</x:f>
      </x:c>
    </x:row>
    <x:row r="840" ht="19" customHeight="1">
      <x:c r="A840" s="90" t="n">
        <x:f>MONATSBUDGET!$A$49</x:f>
        <x:v>47484</x:v>
      </x:c>
      <x:c r="B840" t="n">
        <x:f>1</x:f>
        <x:v>1</x:v>
      </x:c>
      <x:c r="C840" t="str">
        <x:f>IF($N$9="","",$N$9)</x:f>
      </x:c>
      <x:c r="D840" s="88" t="str">
        <x:f>IF(C840="","",I820)</x:f>
      </x:c>
      <x:c r="E840" s="88" t="str">
        <x:f>IF(C840="","",ROUND(D840*$P$9/12,2))</x:f>
      </x:c>
      <x:c r="F840" s="88" t="str">
        <x:f>IF(C840="","",MIN(D840+E840,$Q$9))</x:f>
      </x:c>
      <x:c r="G840" s="88" t="str">
        <x:f>IF(C840="","",MIN(MAX(0,D840+E840-F840),SUMIFS(SONDERZAHLUNGEN!$E$9:$E$128,SONDERZAHLUNGEN!$B$9:$B$128,C840,SONDERZAHLUNGEN!$C$9:$C$128,A840,SONDERZAHLUNGEN!$H$9:$H$128,"OK",SONDERZAHLUNGEN!$F$9:$F$128,"Ja")))</x:f>
      </x:c>
      <x:c r="H840" s="88" t="str">
        <x:f>IF(C840="","",MIN(MAX(0,D840+E840-F840-G840),MAX(0,IF(MONATSBUDGET!$C$49="",0,MONATSBUDGET!$C$49)-SUM(F840:F859)-0)))</x:f>
      </x:c>
      <x:c r="I840" s="88" t="str">
        <x:f>IF(C840="","",MAX(0,ROUND(D840+E840-F840-G840-H840,2)))</x:f>
      </x:c>
      <x:c r="J840" s="88" t="str">
        <x:f>IF(C840="","",F840+G840+H840)</x:f>
      </x:c>
      <x:c r="K840" s="88" t="str">
        <x:f>IF(C840="","",MAX(0,SUMIFS(SONDERZAHLUNGEN!$E$9:$E$128,SONDERZAHLUNGEN!$B$9:$B$128,C840,SONDERZAHLUNGEN!$C$9:$C$128,A840,SONDERZAHLUNGEN!$H$9:$H$128,"OK",SONDERZAHLUNGEN!$F$9:$F$128,"Ja")-G840))</x:f>
      </x:c>
    </x:row>
    <x:row r="841" ht="19" customHeight="1">
      <x:c r="A841" s="90" t="n">
        <x:f>MONATSBUDGET!$A$49</x:f>
        <x:v>47484</x:v>
      </x:c>
      <x:c r="B841" t="n">
        <x:f>2</x:f>
        <x:v>2</x:v>
      </x:c>
      <x:c r="C841" t="str">
        <x:f>IF($N$10="","",$N$10)</x:f>
      </x:c>
      <x:c r="D841" s="88" t="str">
        <x:f>IF(C841="","",I821)</x:f>
      </x:c>
      <x:c r="E841" s="88" t="str">
        <x:f>IF(C841="","",ROUND(D841*$P$10/12,2))</x:f>
      </x:c>
      <x:c r="F841" s="88" t="str">
        <x:f>IF(C841="","",MIN(D841+E841,$Q$10))</x:f>
      </x:c>
      <x:c r="G841" s="88" t="str">
        <x:f>IF(C841="","",MIN(MAX(0,D841+E841-F841),SUMIFS(SONDERZAHLUNGEN!$E$9:$E$128,SONDERZAHLUNGEN!$B$9:$B$128,C841,SONDERZAHLUNGEN!$C$9:$C$128,A841,SONDERZAHLUNGEN!$H$9:$H$128,"OK",SONDERZAHLUNGEN!$F$9:$F$128,"Ja")))</x:f>
      </x:c>
      <x:c r="H841" s="88" t="str">
        <x:f>IF(C841="","",MIN(MAX(0,D841+E841-F841-G841),MAX(0,IF(MONATSBUDGET!$C$49="",0,MONATSBUDGET!$C$49)-SUM(F840:F859)-SUM(H840:H840))))</x:f>
      </x:c>
      <x:c r="I841" s="88" t="str">
        <x:f>IF(C841="","",MAX(0,ROUND(D841+E841-F841-G841-H841,2)))</x:f>
      </x:c>
      <x:c r="J841" s="88" t="str">
        <x:f>IF(C841="","",F841+G841+H841)</x:f>
      </x:c>
      <x:c r="K841" s="88" t="str">
        <x:f>IF(C841="","",MAX(0,SUMIFS(SONDERZAHLUNGEN!$E$9:$E$128,SONDERZAHLUNGEN!$B$9:$B$128,C841,SONDERZAHLUNGEN!$C$9:$C$128,A841,SONDERZAHLUNGEN!$H$9:$H$128,"OK",SONDERZAHLUNGEN!$F$9:$F$128,"Ja")-G841))</x:f>
      </x:c>
    </x:row>
    <x:row r="842" ht="19" customHeight="1">
      <x:c r="A842" s="90" t="n">
        <x:f>MONATSBUDGET!$A$49</x:f>
        <x:v>47484</x:v>
      </x:c>
      <x:c r="B842" t="n">
        <x:f>3</x:f>
        <x:v>3</x:v>
      </x:c>
      <x:c r="C842" t="str">
        <x:f>IF($N$11="","",$N$11)</x:f>
      </x:c>
      <x:c r="D842" s="88" t="str">
        <x:f>IF(C842="","",I822)</x:f>
      </x:c>
      <x:c r="E842" s="88" t="str">
        <x:f>IF(C842="","",ROUND(D842*$P$11/12,2))</x:f>
      </x:c>
      <x:c r="F842" s="88" t="str">
        <x:f>IF(C842="","",MIN(D842+E842,$Q$11))</x:f>
      </x:c>
      <x:c r="G842" s="88" t="str">
        <x:f>IF(C842="","",MIN(MAX(0,D842+E842-F842),SUMIFS(SONDERZAHLUNGEN!$E$9:$E$128,SONDERZAHLUNGEN!$B$9:$B$128,C842,SONDERZAHLUNGEN!$C$9:$C$128,A842,SONDERZAHLUNGEN!$H$9:$H$128,"OK",SONDERZAHLUNGEN!$F$9:$F$128,"Ja")))</x:f>
      </x:c>
      <x:c r="H842" s="88" t="str">
        <x:f>IF(C842="","",MIN(MAX(0,D842+E842-F842-G842),MAX(0,IF(MONATSBUDGET!$C$49="",0,MONATSBUDGET!$C$49)-SUM(F840:F859)-SUM(H840:H841))))</x:f>
      </x:c>
      <x:c r="I842" s="88" t="str">
        <x:f>IF(C842="","",MAX(0,ROUND(D842+E842-F842-G842-H842,2)))</x:f>
      </x:c>
      <x:c r="J842" s="88" t="str">
        <x:f>IF(C842="","",F842+G842+H842)</x:f>
      </x:c>
      <x:c r="K842" s="88" t="str">
        <x:f>IF(C842="","",MAX(0,SUMIFS(SONDERZAHLUNGEN!$E$9:$E$128,SONDERZAHLUNGEN!$B$9:$B$128,C842,SONDERZAHLUNGEN!$C$9:$C$128,A842,SONDERZAHLUNGEN!$H$9:$H$128,"OK",SONDERZAHLUNGEN!$F$9:$F$128,"Ja")-G842))</x:f>
      </x:c>
    </x:row>
    <x:row r="843" ht="19" customHeight="1">
      <x:c r="A843" s="90" t="n">
        <x:f>MONATSBUDGET!$A$49</x:f>
        <x:v>47484</x:v>
      </x:c>
      <x:c r="B843" t="n">
        <x:f>4</x:f>
        <x:v>4</x:v>
      </x:c>
      <x:c r="C843" t="str">
        <x:f>IF($N$12="","",$N$12)</x:f>
      </x:c>
      <x:c r="D843" s="88" t="str">
        <x:f>IF(C843="","",I823)</x:f>
      </x:c>
      <x:c r="E843" s="88" t="str">
        <x:f>IF(C843="","",ROUND(D843*$P$12/12,2))</x:f>
      </x:c>
      <x:c r="F843" s="88" t="str">
        <x:f>IF(C843="","",MIN(D843+E843,$Q$12))</x:f>
      </x:c>
      <x:c r="G843" s="88" t="str">
        <x:f>IF(C843="","",MIN(MAX(0,D843+E843-F843),SUMIFS(SONDERZAHLUNGEN!$E$9:$E$128,SONDERZAHLUNGEN!$B$9:$B$128,C843,SONDERZAHLUNGEN!$C$9:$C$128,A843,SONDERZAHLUNGEN!$H$9:$H$128,"OK",SONDERZAHLUNGEN!$F$9:$F$128,"Ja")))</x:f>
      </x:c>
      <x:c r="H843" s="88" t="str">
        <x:f>IF(C843="","",MIN(MAX(0,D843+E843-F843-G843),MAX(0,IF(MONATSBUDGET!$C$49="",0,MONATSBUDGET!$C$49)-SUM(F840:F859)-SUM(H840:H842))))</x:f>
      </x:c>
      <x:c r="I843" s="88" t="str">
        <x:f>IF(C843="","",MAX(0,ROUND(D843+E843-F843-G843-H843,2)))</x:f>
      </x:c>
      <x:c r="J843" s="88" t="str">
        <x:f>IF(C843="","",F843+G843+H843)</x:f>
      </x:c>
      <x:c r="K843" s="88" t="str">
        <x:f>IF(C843="","",MAX(0,SUMIFS(SONDERZAHLUNGEN!$E$9:$E$128,SONDERZAHLUNGEN!$B$9:$B$128,C843,SONDERZAHLUNGEN!$C$9:$C$128,A843,SONDERZAHLUNGEN!$H$9:$H$128,"OK",SONDERZAHLUNGEN!$F$9:$F$128,"Ja")-G843))</x:f>
      </x:c>
    </x:row>
    <x:row r="844" ht="19" customHeight="1">
      <x:c r="A844" s="90" t="n">
        <x:f>MONATSBUDGET!$A$49</x:f>
        <x:v>47484</x:v>
      </x:c>
      <x:c r="B844" t="n">
        <x:f>5</x:f>
        <x:v>5</x:v>
      </x:c>
      <x:c r="C844" t="str">
        <x:f>IF($N$13="","",$N$13)</x:f>
      </x:c>
      <x:c r="D844" s="88" t="str">
        <x:f>IF(C844="","",I824)</x:f>
      </x:c>
      <x:c r="E844" s="88" t="str">
        <x:f>IF(C844="","",ROUND(D844*$P$13/12,2))</x:f>
      </x:c>
      <x:c r="F844" s="88" t="str">
        <x:f>IF(C844="","",MIN(D844+E844,$Q$13))</x:f>
      </x:c>
      <x:c r="G844" s="88" t="str">
        <x:f>IF(C844="","",MIN(MAX(0,D844+E844-F844),SUMIFS(SONDERZAHLUNGEN!$E$9:$E$128,SONDERZAHLUNGEN!$B$9:$B$128,C844,SONDERZAHLUNGEN!$C$9:$C$128,A844,SONDERZAHLUNGEN!$H$9:$H$128,"OK",SONDERZAHLUNGEN!$F$9:$F$128,"Ja")))</x:f>
      </x:c>
      <x:c r="H844" s="88" t="str">
        <x:f>IF(C844="","",MIN(MAX(0,D844+E844-F844-G844),MAX(0,IF(MONATSBUDGET!$C$49="",0,MONATSBUDGET!$C$49)-SUM(F840:F859)-SUM(H840:H843))))</x:f>
      </x:c>
      <x:c r="I844" s="88" t="str">
        <x:f>IF(C844="","",MAX(0,ROUND(D844+E844-F844-G844-H844,2)))</x:f>
      </x:c>
      <x:c r="J844" s="88" t="str">
        <x:f>IF(C844="","",F844+G844+H844)</x:f>
      </x:c>
      <x:c r="K844" s="88" t="str">
        <x:f>IF(C844="","",MAX(0,SUMIFS(SONDERZAHLUNGEN!$E$9:$E$128,SONDERZAHLUNGEN!$B$9:$B$128,C844,SONDERZAHLUNGEN!$C$9:$C$128,A844,SONDERZAHLUNGEN!$H$9:$H$128,"OK",SONDERZAHLUNGEN!$F$9:$F$128,"Ja")-G844))</x:f>
      </x:c>
    </x:row>
    <x:row r="845" ht="19" customHeight="1">
      <x:c r="A845" s="90" t="n">
        <x:f>MONATSBUDGET!$A$49</x:f>
        <x:v>47484</x:v>
      </x:c>
      <x:c r="B845" t="n">
        <x:f>6</x:f>
        <x:v>6</x:v>
      </x:c>
      <x:c r="C845" t="str">
        <x:f>IF($N$14="","",$N$14)</x:f>
      </x:c>
      <x:c r="D845" s="88" t="str">
        <x:f>IF(C845="","",I825)</x:f>
      </x:c>
      <x:c r="E845" s="88" t="str">
        <x:f>IF(C845="","",ROUND(D845*$P$14/12,2))</x:f>
      </x:c>
      <x:c r="F845" s="88" t="str">
        <x:f>IF(C845="","",MIN(D845+E845,$Q$14))</x:f>
      </x:c>
      <x:c r="G845" s="88" t="str">
        <x:f>IF(C845="","",MIN(MAX(0,D845+E845-F845),SUMIFS(SONDERZAHLUNGEN!$E$9:$E$128,SONDERZAHLUNGEN!$B$9:$B$128,C845,SONDERZAHLUNGEN!$C$9:$C$128,A845,SONDERZAHLUNGEN!$H$9:$H$128,"OK",SONDERZAHLUNGEN!$F$9:$F$128,"Ja")))</x:f>
      </x:c>
      <x:c r="H845" s="88" t="str">
        <x:f>IF(C845="","",MIN(MAX(0,D845+E845-F845-G845),MAX(0,IF(MONATSBUDGET!$C$49="",0,MONATSBUDGET!$C$49)-SUM(F840:F859)-SUM(H840:H844))))</x:f>
      </x:c>
      <x:c r="I845" s="88" t="str">
        <x:f>IF(C845="","",MAX(0,ROUND(D845+E845-F845-G845-H845,2)))</x:f>
      </x:c>
      <x:c r="J845" s="88" t="str">
        <x:f>IF(C845="","",F845+G845+H845)</x:f>
      </x:c>
      <x:c r="K845" s="88" t="str">
        <x:f>IF(C845="","",MAX(0,SUMIFS(SONDERZAHLUNGEN!$E$9:$E$128,SONDERZAHLUNGEN!$B$9:$B$128,C845,SONDERZAHLUNGEN!$C$9:$C$128,A845,SONDERZAHLUNGEN!$H$9:$H$128,"OK",SONDERZAHLUNGEN!$F$9:$F$128,"Ja")-G845))</x:f>
      </x:c>
    </x:row>
    <x:row r="846" ht="19" customHeight="1">
      <x:c r="A846" s="90" t="n">
        <x:f>MONATSBUDGET!$A$49</x:f>
        <x:v>47484</x:v>
      </x:c>
      <x:c r="B846" t="n">
        <x:f>7</x:f>
        <x:v>7</x:v>
      </x:c>
      <x:c r="C846" t="str">
        <x:f>IF($N$15="","",$N$15)</x:f>
      </x:c>
      <x:c r="D846" s="88" t="str">
        <x:f>IF(C846="","",I826)</x:f>
      </x:c>
      <x:c r="E846" s="88" t="str">
        <x:f>IF(C846="","",ROUND(D846*$P$15/12,2))</x:f>
      </x:c>
      <x:c r="F846" s="88" t="str">
        <x:f>IF(C846="","",MIN(D846+E846,$Q$15))</x:f>
      </x:c>
      <x:c r="G846" s="88" t="str">
        <x:f>IF(C846="","",MIN(MAX(0,D846+E846-F846),SUMIFS(SONDERZAHLUNGEN!$E$9:$E$128,SONDERZAHLUNGEN!$B$9:$B$128,C846,SONDERZAHLUNGEN!$C$9:$C$128,A846,SONDERZAHLUNGEN!$H$9:$H$128,"OK",SONDERZAHLUNGEN!$F$9:$F$128,"Ja")))</x:f>
      </x:c>
      <x:c r="H846" s="88" t="str">
        <x:f>IF(C846="","",MIN(MAX(0,D846+E846-F846-G846),MAX(0,IF(MONATSBUDGET!$C$49="",0,MONATSBUDGET!$C$49)-SUM(F840:F859)-SUM(H840:H845))))</x:f>
      </x:c>
      <x:c r="I846" s="88" t="str">
        <x:f>IF(C846="","",MAX(0,ROUND(D846+E846-F846-G846-H846,2)))</x:f>
      </x:c>
      <x:c r="J846" s="88" t="str">
        <x:f>IF(C846="","",F846+G846+H846)</x:f>
      </x:c>
      <x:c r="K846" s="88" t="str">
        <x:f>IF(C846="","",MAX(0,SUMIFS(SONDERZAHLUNGEN!$E$9:$E$128,SONDERZAHLUNGEN!$B$9:$B$128,C846,SONDERZAHLUNGEN!$C$9:$C$128,A846,SONDERZAHLUNGEN!$H$9:$H$128,"OK",SONDERZAHLUNGEN!$F$9:$F$128,"Ja")-G846))</x:f>
      </x:c>
    </x:row>
    <x:row r="847" ht="19" customHeight="1">
      <x:c r="A847" s="90" t="n">
        <x:f>MONATSBUDGET!$A$49</x:f>
        <x:v>47484</x:v>
      </x:c>
      <x:c r="B847" t="n">
        <x:f>8</x:f>
        <x:v>8</x:v>
      </x:c>
      <x:c r="C847" t="str">
        <x:f>IF($N$16="","",$N$16)</x:f>
      </x:c>
      <x:c r="D847" s="88" t="str">
        <x:f>IF(C847="","",I827)</x:f>
      </x:c>
      <x:c r="E847" s="88" t="str">
        <x:f>IF(C847="","",ROUND(D847*$P$16/12,2))</x:f>
      </x:c>
      <x:c r="F847" s="88" t="str">
        <x:f>IF(C847="","",MIN(D847+E847,$Q$16))</x:f>
      </x:c>
      <x:c r="G847" s="88" t="str">
        <x:f>IF(C847="","",MIN(MAX(0,D847+E847-F847),SUMIFS(SONDERZAHLUNGEN!$E$9:$E$128,SONDERZAHLUNGEN!$B$9:$B$128,C847,SONDERZAHLUNGEN!$C$9:$C$128,A847,SONDERZAHLUNGEN!$H$9:$H$128,"OK",SONDERZAHLUNGEN!$F$9:$F$128,"Ja")))</x:f>
      </x:c>
      <x:c r="H847" s="88" t="str">
        <x:f>IF(C847="","",MIN(MAX(0,D847+E847-F847-G847),MAX(0,IF(MONATSBUDGET!$C$49="",0,MONATSBUDGET!$C$49)-SUM(F840:F859)-SUM(H840:H846))))</x:f>
      </x:c>
      <x:c r="I847" s="88" t="str">
        <x:f>IF(C847="","",MAX(0,ROUND(D847+E847-F847-G847-H847,2)))</x:f>
      </x:c>
      <x:c r="J847" s="88" t="str">
        <x:f>IF(C847="","",F847+G847+H847)</x:f>
      </x:c>
      <x:c r="K847" s="88" t="str">
        <x:f>IF(C847="","",MAX(0,SUMIFS(SONDERZAHLUNGEN!$E$9:$E$128,SONDERZAHLUNGEN!$B$9:$B$128,C847,SONDERZAHLUNGEN!$C$9:$C$128,A847,SONDERZAHLUNGEN!$H$9:$H$128,"OK",SONDERZAHLUNGEN!$F$9:$F$128,"Ja")-G847))</x:f>
      </x:c>
    </x:row>
    <x:row r="848" ht="19" customHeight="1">
      <x:c r="A848" s="90" t="n">
        <x:f>MONATSBUDGET!$A$49</x:f>
        <x:v>47484</x:v>
      </x:c>
      <x:c r="B848" t="n">
        <x:f>9</x:f>
        <x:v>9</x:v>
      </x:c>
      <x:c r="C848" t="str">
        <x:f>IF($N$17="","",$N$17)</x:f>
      </x:c>
      <x:c r="D848" s="88" t="str">
        <x:f>IF(C848="","",I828)</x:f>
      </x:c>
      <x:c r="E848" s="88" t="str">
        <x:f>IF(C848="","",ROUND(D848*$P$17/12,2))</x:f>
      </x:c>
      <x:c r="F848" s="88" t="str">
        <x:f>IF(C848="","",MIN(D848+E848,$Q$17))</x:f>
      </x:c>
      <x:c r="G848" s="88" t="str">
        <x:f>IF(C848="","",MIN(MAX(0,D848+E848-F848),SUMIFS(SONDERZAHLUNGEN!$E$9:$E$128,SONDERZAHLUNGEN!$B$9:$B$128,C848,SONDERZAHLUNGEN!$C$9:$C$128,A848,SONDERZAHLUNGEN!$H$9:$H$128,"OK",SONDERZAHLUNGEN!$F$9:$F$128,"Ja")))</x:f>
      </x:c>
      <x:c r="H848" s="88" t="str">
        <x:f>IF(C848="","",MIN(MAX(0,D848+E848-F848-G848),MAX(0,IF(MONATSBUDGET!$C$49="",0,MONATSBUDGET!$C$49)-SUM(F840:F859)-SUM(H840:H847))))</x:f>
      </x:c>
      <x:c r="I848" s="88" t="str">
        <x:f>IF(C848="","",MAX(0,ROUND(D848+E848-F848-G848-H848,2)))</x:f>
      </x:c>
      <x:c r="J848" s="88" t="str">
        <x:f>IF(C848="","",F848+G848+H848)</x:f>
      </x:c>
      <x:c r="K848" s="88" t="str">
        <x:f>IF(C848="","",MAX(0,SUMIFS(SONDERZAHLUNGEN!$E$9:$E$128,SONDERZAHLUNGEN!$B$9:$B$128,C848,SONDERZAHLUNGEN!$C$9:$C$128,A848,SONDERZAHLUNGEN!$H$9:$H$128,"OK",SONDERZAHLUNGEN!$F$9:$F$128,"Ja")-G848))</x:f>
      </x:c>
    </x:row>
    <x:row r="849" ht="19" customHeight="1">
      <x:c r="A849" s="90" t="n">
        <x:f>MONATSBUDGET!$A$49</x:f>
        <x:v>47484</x:v>
      </x:c>
      <x:c r="B849" t="n">
        <x:f>10</x:f>
        <x:v>10</x:v>
      </x:c>
      <x:c r="C849" t="str">
        <x:f>IF($N$18="","",$N$18)</x:f>
      </x:c>
      <x:c r="D849" s="88" t="str">
        <x:f>IF(C849="","",I829)</x:f>
      </x:c>
      <x:c r="E849" s="88" t="str">
        <x:f>IF(C849="","",ROUND(D849*$P$18/12,2))</x:f>
      </x:c>
      <x:c r="F849" s="88" t="str">
        <x:f>IF(C849="","",MIN(D849+E849,$Q$18))</x:f>
      </x:c>
      <x:c r="G849" s="88" t="str">
        <x:f>IF(C849="","",MIN(MAX(0,D849+E849-F849),SUMIFS(SONDERZAHLUNGEN!$E$9:$E$128,SONDERZAHLUNGEN!$B$9:$B$128,C849,SONDERZAHLUNGEN!$C$9:$C$128,A849,SONDERZAHLUNGEN!$H$9:$H$128,"OK",SONDERZAHLUNGEN!$F$9:$F$128,"Ja")))</x:f>
      </x:c>
      <x:c r="H849" s="88" t="str">
        <x:f>IF(C849="","",MIN(MAX(0,D849+E849-F849-G849),MAX(0,IF(MONATSBUDGET!$C$49="",0,MONATSBUDGET!$C$49)-SUM(F840:F859)-SUM(H840:H848))))</x:f>
      </x:c>
      <x:c r="I849" s="88" t="str">
        <x:f>IF(C849="","",MAX(0,ROUND(D849+E849-F849-G849-H849,2)))</x:f>
      </x:c>
      <x:c r="J849" s="88" t="str">
        <x:f>IF(C849="","",F849+G849+H849)</x:f>
      </x:c>
      <x:c r="K849" s="88" t="str">
        <x:f>IF(C849="","",MAX(0,SUMIFS(SONDERZAHLUNGEN!$E$9:$E$128,SONDERZAHLUNGEN!$B$9:$B$128,C849,SONDERZAHLUNGEN!$C$9:$C$128,A849,SONDERZAHLUNGEN!$H$9:$H$128,"OK",SONDERZAHLUNGEN!$F$9:$F$128,"Ja")-G849))</x:f>
      </x:c>
    </x:row>
    <x:row r="850" ht="19" customHeight="1">
      <x:c r="A850" s="90" t="n">
        <x:f>MONATSBUDGET!$A$49</x:f>
        <x:v>47484</x:v>
      </x:c>
      <x:c r="B850" t="n">
        <x:f>11</x:f>
        <x:v>11</x:v>
      </x:c>
      <x:c r="C850" t="str">
        <x:f>IF($N$19="","",$N$19)</x:f>
      </x:c>
      <x:c r="D850" s="88" t="str">
        <x:f>IF(C850="","",I830)</x:f>
      </x:c>
      <x:c r="E850" s="88" t="str">
        <x:f>IF(C850="","",ROUND(D850*$P$19/12,2))</x:f>
      </x:c>
      <x:c r="F850" s="88" t="str">
        <x:f>IF(C850="","",MIN(D850+E850,$Q$19))</x:f>
      </x:c>
      <x:c r="G850" s="88" t="str">
        <x:f>IF(C850="","",MIN(MAX(0,D850+E850-F850),SUMIFS(SONDERZAHLUNGEN!$E$9:$E$128,SONDERZAHLUNGEN!$B$9:$B$128,C850,SONDERZAHLUNGEN!$C$9:$C$128,A850,SONDERZAHLUNGEN!$H$9:$H$128,"OK",SONDERZAHLUNGEN!$F$9:$F$128,"Ja")))</x:f>
      </x:c>
      <x:c r="H850" s="88" t="str">
        <x:f>IF(C850="","",MIN(MAX(0,D850+E850-F850-G850),MAX(0,IF(MONATSBUDGET!$C$49="",0,MONATSBUDGET!$C$49)-SUM(F840:F859)-SUM(H840:H849))))</x:f>
      </x:c>
      <x:c r="I850" s="88" t="str">
        <x:f>IF(C850="","",MAX(0,ROUND(D850+E850-F850-G850-H850,2)))</x:f>
      </x:c>
      <x:c r="J850" s="88" t="str">
        <x:f>IF(C850="","",F850+G850+H850)</x:f>
      </x:c>
      <x:c r="K850" s="88" t="str">
        <x:f>IF(C850="","",MAX(0,SUMIFS(SONDERZAHLUNGEN!$E$9:$E$128,SONDERZAHLUNGEN!$B$9:$B$128,C850,SONDERZAHLUNGEN!$C$9:$C$128,A850,SONDERZAHLUNGEN!$H$9:$H$128,"OK",SONDERZAHLUNGEN!$F$9:$F$128,"Ja")-G850))</x:f>
      </x:c>
    </x:row>
    <x:row r="851" ht="19" customHeight="1">
      <x:c r="A851" s="90" t="n">
        <x:f>MONATSBUDGET!$A$49</x:f>
        <x:v>47484</x:v>
      </x:c>
      <x:c r="B851" t="n">
        <x:f>12</x:f>
        <x:v>12</x:v>
      </x:c>
      <x:c r="C851" t="str">
        <x:f>IF($N$20="","",$N$20)</x:f>
      </x:c>
      <x:c r="D851" s="88" t="str">
        <x:f>IF(C851="","",I831)</x:f>
      </x:c>
      <x:c r="E851" s="88" t="str">
        <x:f>IF(C851="","",ROUND(D851*$P$20/12,2))</x:f>
      </x:c>
      <x:c r="F851" s="88" t="str">
        <x:f>IF(C851="","",MIN(D851+E851,$Q$20))</x:f>
      </x:c>
      <x:c r="G851" s="88" t="str">
        <x:f>IF(C851="","",MIN(MAX(0,D851+E851-F851),SUMIFS(SONDERZAHLUNGEN!$E$9:$E$128,SONDERZAHLUNGEN!$B$9:$B$128,C851,SONDERZAHLUNGEN!$C$9:$C$128,A851,SONDERZAHLUNGEN!$H$9:$H$128,"OK",SONDERZAHLUNGEN!$F$9:$F$128,"Ja")))</x:f>
      </x:c>
      <x:c r="H851" s="88" t="str">
        <x:f>IF(C851="","",MIN(MAX(0,D851+E851-F851-G851),MAX(0,IF(MONATSBUDGET!$C$49="",0,MONATSBUDGET!$C$49)-SUM(F840:F859)-SUM(H840:H850))))</x:f>
      </x:c>
      <x:c r="I851" s="88" t="str">
        <x:f>IF(C851="","",MAX(0,ROUND(D851+E851-F851-G851-H851,2)))</x:f>
      </x:c>
      <x:c r="J851" s="88" t="str">
        <x:f>IF(C851="","",F851+G851+H851)</x:f>
      </x:c>
      <x:c r="K851" s="88" t="str">
        <x:f>IF(C851="","",MAX(0,SUMIFS(SONDERZAHLUNGEN!$E$9:$E$128,SONDERZAHLUNGEN!$B$9:$B$128,C851,SONDERZAHLUNGEN!$C$9:$C$128,A851,SONDERZAHLUNGEN!$H$9:$H$128,"OK",SONDERZAHLUNGEN!$F$9:$F$128,"Ja")-G851))</x:f>
      </x:c>
    </x:row>
    <x:row r="852" ht="19" customHeight="1">
      <x:c r="A852" s="90" t="n">
        <x:f>MONATSBUDGET!$A$49</x:f>
        <x:v>47484</x:v>
      </x:c>
      <x:c r="B852" t="n">
        <x:f>13</x:f>
        <x:v>13</x:v>
      </x:c>
      <x:c r="C852" t="str">
        <x:f>IF($N$21="","",$N$21)</x:f>
      </x:c>
      <x:c r="D852" s="88" t="str">
        <x:f>IF(C852="","",I832)</x:f>
      </x:c>
      <x:c r="E852" s="88" t="str">
        <x:f>IF(C852="","",ROUND(D852*$P$21/12,2))</x:f>
      </x:c>
      <x:c r="F852" s="88" t="str">
        <x:f>IF(C852="","",MIN(D852+E852,$Q$21))</x:f>
      </x:c>
      <x:c r="G852" s="88" t="str">
        <x:f>IF(C852="","",MIN(MAX(0,D852+E852-F852),SUMIFS(SONDERZAHLUNGEN!$E$9:$E$128,SONDERZAHLUNGEN!$B$9:$B$128,C852,SONDERZAHLUNGEN!$C$9:$C$128,A852,SONDERZAHLUNGEN!$H$9:$H$128,"OK",SONDERZAHLUNGEN!$F$9:$F$128,"Ja")))</x:f>
      </x:c>
      <x:c r="H852" s="88" t="str">
        <x:f>IF(C852="","",MIN(MAX(0,D852+E852-F852-G852),MAX(0,IF(MONATSBUDGET!$C$49="",0,MONATSBUDGET!$C$49)-SUM(F840:F859)-SUM(H840:H851))))</x:f>
      </x:c>
      <x:c r="I852" s="88" t="str">
        <x:f>IF(C852="","",MAX(0,ROUND(D852+E852-F852-G852-H852,2)))</x:f>
      </x:c>
      <x:c r="J852" s="88" t="str">
        <x:f>IF(C852="","",F852+G852+H852)</x:f>
      </x:c>
      <x:c r="K852" s="88" t="str">
        <x:f>IF(C852="","",MAX(0,SUMIFS(SONDERZAHLUNGEN!$E$9:$E$128,SONDERZAHLUNGEN!$B$9:$B$128,C852,SONDERZAHLUNGEN!$C$9:$C$128,A852,SONDERZAHLUNGEN!$H$9:$H$128,"OK",SONDERZAHLUNGEN!$F$9:$F$128,"Ja")-G852))</x:f>
      </x:c>
    </x:row>
    <x:row r="853" ht="19" customHeight="1">
      <x:c r="A853" s="90" t="n">
        <x:f>MONATSBUDGET!$A$49</x:f>
        <x:v>47484</x:v>
      </x:c>
      <x:c r="B853" t="n">
        <x:f>14</x:f>
        <x:v>14</x:v>
      </x:c>
      <x:c r="C853" t="str">
        <x:f>IF($N$22="","",$N$22)</x:f>
      </x:c>
      <x:c r="D853" s="88" t="str">
        <x:f>IF(C853="","",I833)</x:f>
      </x:c>
      <x:c r="E853" s="88" t="str">
        <x:f>IF(C853="","",ROUND(D853*$P$22/12,2))</x:f>
      </x:c>
      <x:c r="F853" s="88" t="str">
        <x:f>IF(C853="","",MIN(D853+E853,$Q$22))</x:f>
      </x:c>
      <x:c r="G853" s="88" t="str">
        <x:f>IF(C853="","",MIN(MAX(0,D853+E853-F853),SUMIFS(SONDERZAHLUNGEN!$E$9:$E$128,SONDERZAHLUNGEN!$B$9:$B$128,C853,SONDERZAHLUNGEN!$C$9:$C$128,A853,SONDERZAHLUNGEN!$H$9:$H$128,"OK",SONDERZAHLUNGEN!$F$9:$F$128,"Ja")))</x:f>
      </x:c>
      <x:c r="H853" s="88" t="str">
        <x:f>IF(C853="","",MIN(MAX(0,D853+E853-F853-G853),MAX(0,IF(MONATSBUDGET!$C$49="",0,MONATSBUDGET!$C$49)-SUM(F840:F859)-SUM(H840:H852))))</x:f>
      </x:c>
      <x:c r="I853" s="88" t="str">
        <x:f>IF(C853="","",MAX(0,ROUND(D853+E853-F853-G853-H853,2)))</x:f>
      </x:c>
      <x:c r="J853" s="88" t="str">
        <x:f>IF(C853="","",F853+G853+H853)</x:f>
      </x:c>
      <x:c r="K853" s="88" t="str">
        <x:f>IF(C853="","",MAX(0,SUMIFS(SONDERZAHLUNGEN!$E$9:$E$128,SONDERZAHLUNGEN!$B$9:$B$128,C853,SONDERZAHLUNGEN!$C$9:$C$128,A853,SONDERZAHLUNGEN!$H$9:$H$128,"OK",SONDERZAHLUNGEN!$F$9:$F$128,"Ja")-G853))</x:f>
      </x:c>
    </x:row>
    <x:row r="854" ht="19" customHeight="1">
      <x:c r="A854" s="90" t="n">
        <x:f>MONATSBUDGET!$A$49</x:f>
        <x:v>47484</x:v>
      </x:c>
      <x:c r="B854" t="n">
        <x:f>15</x:f>
        <x:v>15</x:v>
      </x:c>
      <x:c r="C854" t="str">
        <x:f>IF($N$23="","",$N$23)</x:f>
      </x:c>
      <x:c r="D854" s="88" t="str">
        <x:f>IF(C854="","",I834)</x:f>
      </x:c>
      <x:c r="E854" s="88" t="str">
        <x:f>IF(C854="","",ROUND(D854*$P$23/12,2))</x:f>
      </x:c>
      <x:c r="F854" s="88" t="str">
        <x:f>IF(C854="","",MIN(D854+E854,$Q$23))</x:f>
      </x:c>
      <x:c r="G854" s="88" t="str">
        <x:f>IF(C854="","",MIN(MAX(0,D854+E854-F854),SUMIFS(SONDERZAHLUNGEN!$E$9:$E$128,SONDERZAHLUNGEN!$B$9:$B$128,C854,SONDERZAHLUNGEN!$C$9:$C$128,A854,SONDERZAHLUNGEN!$H$9:$H$128,"OK",SONDERZAHLUNGEN!$F$9:$F$128,"Ja")))</x:f>
      </x:c>
      <x:c r="H854" s="88" t="str">
        <x:f>IF(C854="","",MIN(MAX(0,D854+E854-F854-G854),MAX(0,IF(MONATSBUDGET!$C$49="",0,MONATSBUDGET!$C$49)-SUM(F840:F859)-SUM(H840:H853))))</x:f>
      </x:c>
      <x:c r="I854" s="88" t="str">
        <x:f>IF(C854="","",MAX(0,ROUND(D854+E854-F854-G854-H854,2)))</x:f>
      </x:c>
      <x:c r="J854" s="88" t="str">
        <x:f>IF(C854="","",F854+G854+H854)</x:f>
      </x:c>
      <x:c r="K854" s="88" t="str">
        <x:f>IF(C854="","",MAX(0,SUMIFS(SONDERZAHLUNGEN!$E$9:$E$128,SONDERZAHLUNGEN!$B$9:$B$128,C854,SONDERZAHLUNGEN!$C$9:$C$128,A854,SONDERZAHLUNGEN!$H$9:$H$128,"OK",SONDERZAHLUNGEN!$F$9:$F$128,"Ja")-G854))</x:f>
      </x:c>
    </x:row>
    <x:row r="855" ht="19" customHeight="1">
      <x:c r="A855" s="90" t="n">
        <x:f>MONATSBUDGET!$A$49</x:f>
        <x:v>47484</x:v>
      </x:c>
      <x:c r="B855" t="n">
        <x:f>16</x:f>
        <x:v>16</x:v>
      </x:c>
      <x:c r="C855" t="str">
        <x:f>IF($N$24="","",$N$24)</x:f>
      </x:c>
      <x:c r="D855" s="88" t="str">
        <x:f>IF(C855="","",I835)</x:f>
      </x:c>
      <x:c r="E855" s="88" t="str">
        <x:f>IF(C855="","",ROUND(D855*$P$24/12,2))</x:f>
      </x:c>
      <x:c r="F855" s="88" t="str">
        <x:f>IF(C855="","",MIN(D855+E855,$Q$24))</x:f>
      </x:c>
      <x:c r="G855" s="88" t="str">
        <x:f>IF(C855="","",MIN(MAX(0,D855+E855-F855),SUMIFS(SONDERZAHLUNGEN!$E$9:$E$128,SONDERZAHLUNGEN!$B$9:$B$128,C855,SONDERZAHLUNGEN!$C$9:$C$128,A855,SONDERZAHLUNGEN!$H$9:$H$128,"OK",SONDERZAHLUNGEN!$F$9:$F$128,"Ja")))</x:f>
      </x:c>
      <x:c r="H855" s="88" t="str">
        <x:f>IF(C855="","",MIN(MAX(0,D855+E855-F855-G855),MAX(0,IF(MONATSBUDGET!$C$49="",0,MONATSBUDGET!$C$49)-SUM(F840:F859)-SUM(H840:H854))))</x:f>
      </x:c>
      <x:c r="I855" s="88" t="str">
        <x:f>IF(C855="","",MAX(0,ROUND(D855+E855-F855-G855-H855,2)))</x:f>
      </x:c>
      <x:c r="J855" s="88" t="str">
        <x:f>IF(C855="","",F855+G855+H855)</x:f>
      </x:c>
      <x:c r="K855" s="88" t="str">
        <x:f>IF(C855="","",MAX(0,SUMIFS(SONDERZAHLUNGEN!$E$9:$E$128,SONDERZAHLUNGEN!$B$9:$B$128,C855,SONDERZAHLUNGEN!$C$9:$C$128,A855,SONDERZAHLUNGEN!$H$9:$H$128,"OK",SONDERZAHLUNGEN!$F$9:$F$128,"Ja")-G855))</x:f>
      </x:c>
    </x:row>
    <x:row r="856" ht="19" customHeight="1">
      <x:c r="A856" s="90" t="n">
        <x:f>MONATSBUDGET!$A$49</x:f>
        <x:v>47484</x:v>
      </x:c>
      <x:c r="B856" t="n">
        <x:f>17</x:f>
        <x:v>17</x:v>
      </x:c>
      <x:c r="C856" t="str">
        <x:f>IF($N$25="","",$N$25)</x:f>
      </x:c>
      <x:c r="D856" s="88" t="str">
        <x:f>IF(C856="","",I836)</x:f>
      </x:c>
      <x:c r="E856" s="88" t="str">
        <x:f>IF(C856="","",ROUND(D856*$P$25/12,2))</x:f>
      </x:c>
      <x:c r="F856" s="88" t="str">
        <x:f>IF(C856="","",MIN(D856+E856,$Q$25))</x:f>
      </x:c>
      <x:c r="G856" s="88" t="str">
        <x:f>IF(C856="","",MIN(MAX(0,D856+E856-F856),SUMIFS(SONDERZAHLUNGEN!$E$9:$E$128,SONDERZAHLUNGEN!$B$9:$B$128,C856,SONDERZAHLUNGEN!$C$9:$C$128,A856,SONDERZAHLUNGEN!$H$9:$H$128,"OK",SONDERZAHLUNGEN!$F$9:$F$128,"Ja")))</x:f>
      </x:c>
      <x:c r="H856" s="88" t="str">
        <x:f>IF(C856="","",MIN(MAX(0,D856+E856-F856-G856),MAX(0,IF(MONATSBUDGET!$C$49="",0,MONATSBUDGET!$C$49)-SUM(F840:F859)-SUM(H840:H855))))</x:f>
      </x:c>
      <x:c r="I856" s="88" t="str">
        <x:f>IF(C856="","",MAX(0,ROUND(D856+E856-F856-G856-H856,2)))</x:f>
      </x:c>
      <x:c r="J856" s="88" t="str">
        <x:f>IF(C856="","",F856+G856+H856)</x:f>
      </x:c>
      <x:c r="K856" s="88" t="str">
        <x:f>IF(C856="","",MAX(0,SUMIFS(SONDERZAHLUNGEN!$E$9:$E$128,SONDERZAHLUNGEN!$B$9:$B$128,C856,SONDERZAHLUNGEN!$C$9:$C$128,A856,SONDERZAHLUNGEN!$H$9:$H$128,"OK",SONDERZAHLUNGEN!$F$9:$F$128,"Ja")-G856))</x:f>
      </x:c>
    </x:row>
    <x:row r="857" ht="19" customHeight="1">
      <x:c r="A857" s="90" t="n">
        <x:f>MONATSBUDGET!$A$49</x:f>
        <x:v>47484</x:v>
      </x:c>
      <x:c r="B857" t="n">
        <x:f>18</x:f>
        <x:v>18</x:v>
      </x:c>
      <x:c r="C857" t="str">
        <x:f>IF($N$26="","",$N$26)</x:f>
      </x:c>
      <x:c r="D857" s="88" t="str">
        <x:f>IF(C857="","",I837)</x:f>
      </x:c>
      <x:c r="E857" s="88" t="str">
        <x:f>IF(C857="","",ROUND(D857*$P$26/12,2))</x:f>
      </x:c>
      <x:c r="F857" s="88" t="str">
        <x:f>IF(C857="","",MIN(D857+E857,$Q$26))</x:f>
      </x:c>
      <x:c r="G857" s="88" t="str">
        <x:f>IF(C857="","",MIN(MAX(0,D857+E857-F857),SUMIFS(SONDERZAHLUNGEN!$E$9:$E$128,SONDERZAHLUNGEN!$B$9:$B$128,C857,SONDERZAHLUNGEN!$C$9:$C$128,A857,SONDERZAHLUNGEN!$H$9:$H$128,"OK",SONDERZAHLUNGEN!$F$9:$F$128,"Ja")))</x:f>
      </x:c>
      <x:c r="H857" s="88" t="str">
        <x:f>IF(C857="","",MIN(MAX(0,D857+E857-F857-G857),MAX(0,IF(MONATSBUDGET!$C$49="",0,MONATSBUDGET!$C$49)-SUM(F840:F859)-SUM(H840:H856))))</x:f>
      </x:c>
      <x:c r="I857" s="88" t="str">
        <x:f>IF(C857="","",MAX(0,ROUND(D857+E857-F857-G857-H857,2)))</x:f>
      </x:c>
      <x:c r="J857" s="88" t="str">
        <x:f>IF(C857="","",F857+G857+H857)</x:f>
      </x:c>
      <x:c r="K857" s="88" t="str">
        <x:f>IF(C857="","",MAX(0,SUMIFS(SONDERZAHLUNGEN!$E$9:$E$128,SONDERZAHLUNGEN!$B$9:$B$128,C857,SONDERZAHLUNGEN!$C$9:$C$128,A857,SONDERZAHLUNGEN!$H$9:$H$128,"OK",SONDERZAHLUNGEN!$F$9:$F$128,"Ja")-G857))</x:f>
      </x:c>
    </x:row>
    <x:row r="858" ht="19" customHeight="1">
      <x:c r="A858" s="90" t="n">
        <x:f>MONATSBUDGET!$A$49</x:f>
        <x:v>47484</x:v>
      </x:c>
      <x:c r="B858" t="n">
        <x:f>19</x:f>
        <x:v>19</x:v>
      </x:c>
      <x:c r="C858" t="str">
        <x:f>IF($N$27="","",$N$27)</x:f>
      </x:c>
      <x:c r="D858" s="88" t="str">
        <x:f>IF(C858="","",I838)</x:f>
      </x:c>
      <x:c r="E858" s="88" t="str">
        <x:f>IF(C858="","",ROUND(D858*$P$27/12,2))</x:f>
      </x:c>
      <x:c r="F858" s="88" t="str">
        <x:f>IF(C858="","",MIN(D858+E858,$Q$27))</x:f>
      </x:c>
      <x:c r="G858" s="88" t="str">
        <x:f>IF(C858="","",MIN(MAX(0,D858+E858-F858),SUMIFS(SONDERZAHLUNGEN!$E$9:$E$128,SONDERZAHLUNGEN!$B$9:$B$128,C858,SONDERZAHLUNGEN!$C$9:$C$128,A858,SONDERZAHLUNGEN!$H$9:$H$128,"OK",SONDERZAHLUNGEN!$F$9:$F$128,"Ja")))</x:f>
      </x:c>
      <x:c r="H858" s="88" t="str">
        <x:f>IF(C858="","",MIN(MAX(0,D858+E858-F858-G858),MAX(0,IF(MONATSBUDGET!$C$49="",0,MONATSBUDGET!$C$49)-SUM(F840:F859)-SUM(H840:H857))))</x:f>
      </x:c>
      <x:c r="I858" s="88" t="str">
        <x:f>IF(C858="","",MAX(0,ROUND(D858+E858-F858-G858-H858,2)))</x:f>
      </x:c>
      <x:c r="J858" s="88" t="str">
        <x:f>IF(C858="","",F858+G858+H858)</x:f>
      </x:c>
      <x:c r="K858" s="88" t="str">
        <x:f>IF(C858="","",MAX(0,SUMIFS(SONDERZAHLUNGEN!$E$9:$E$128,SONDERZAHLUNGEN!$B$9:$B$128,C858,SONDERZAHLUNGEN!$C$9:$C$128,A858,SONDERZAHLUNGEN!$H$9:$H$128,"OK",SONDERZAHLUNGEN!$F$9:$F$128,"Ja")-G858))</x:f>
      </x:c>
    </x:row>
    <x:row r="859" ht="19" customHeight="1">
      <x:c r="A859" s="90" t="n">
        <x:f>MONATSBUDGET!$A$49</x:f>
        <x:v>47484</x:v>
      </x:c>
      <x:c r="B859" t="n">
        <x:f>20</x:f>
        <x:v>20</x:v>
      </x:c>
      <x:c r="C859" t="str">
        <x:f>IF($N$28="","",$N$28)</x:f>
      </x:c>
      <x:c r="D859" s="88" t="str">
        <x:f>IF(C859="","",I839)</x:f>
      </x:c>
      <x:c r="E859" s="88" t="str">
        <x:f>IF(C859="","",ROUND(D859*$P$28/12,2))</x:f>
      </x:c>
      <x:c r="F859" s="88" t="str">
        <x:f>IF(C859="","",MIN(D859+E859,$Q$28))</x:f>
      </x:c>
      <x:c r="G859" s="88" t="str">
        <x:f>IF(C859="","",MIN(MAX(0,D859+E859-F859),SUMIFS(SONDERZAHLUNGEN!$E$9:$E$128,SONDERZAHLUNGEN!$B$9:$B$128,C859,SONDERZAHLUNGEN!$C$9:$C$128,A859,SONDERZAHLUNGEN!$H$9:$H$128,"OK",SONDERZAHLUNGEN!$F$9:$F$128,"Ja")))</x:f>
      </x:c>
      <x:c r="H859" s="88" t="str">
        <x:f>IF(C859="","",MIN(MAX(0,D859+E859-F859-G859),MAX(0,IF(MONATSBUDGET!$C$49="",0,MONATSBUDGET!$C$49)-SUM(F840:F859)-SUM(H840:H858))))</x:f>
      </x:c>
      <x:c r="I859" s="88" t="str">
        <x:f>IF(C859="","",MAX(0,ROUND(D859+E859-F859-G859-H859,2)))</x:f>
      </x:c>
      <x:c r="J859" s="88" t="str">
        <x:f>IF(C859="","",F859+G859+H859)</x:f>
      </x:c>
      <x:c r="K859" s="88" t="str">
        <x:f>IF(C859="","",MAX(0,SUMIFS(SONDERZAHLUNGEN!$E$9:$E$128,SONDERZAHLUNGEN!$B$9:$B$128,C859,SONDERZAHLUNGEN!$C$9:$C$128,A859,SONDERZAHLUNGEN!$H$9:$H$128,"OK",SONDERZAHLUNGEN!$F$9:$F$128,"Ja")-G859))</x:f>
      </x:c>
    </x:row>
    <x:row r="860" ht="19" customHeight="1">
      <x:c r="A860" s="90" t="n">
        <x:f>MONATSBUDGET!$A$50</x:f>
        <x:v>47515</x:v>
      </x:c>
      <x:c r="B860" t="n">
        <x:f>1</x:f>
        <x:v>1</x:v>
      </x:c>
      <x:c r="C860" t="str">
        <x:f>IF($N$9="","",$N$9)</x:f>
      </x:c>
      <x:c r="D860" s="88" t="str">
        <x:f>IF(C860="","",I840)</x:f>
      </x:c>
      <x:c r="E860" s="88" t="str">
        <x:f>IF(C860="","",ROUND(D860*$P$9/12,2))</x:f>
      </x:c>
      <x:c r="F860" s="88" t="str">
        <x:f>IF(C860="","",MIN(D860+E860,$Q$9))</x:f>
      </x:c>
      <x:c r="G860" s="88" t="str">
        <x:f>IF(C860="","",MIN(MAX(0,D860+E860-F860),SUMIFS(SONDERZAHLUNGEN!$E$9:$E$128,SONDERZAHLUNGEN!$B$9:$B$128,C860,SONDERZAHLUNGEN!$C$9:$C$128,A860,SONDERZAHLUNGEN!$H$9:$H$128,"OK",SONDERZAHLUNGEN!$F$9:$F$128,"Ja")))</x:f>
      </x:c>
      <x:c r="H860" s="88" t="str">
        <x:f>IF(C860="","",MIN(MAX(0,D860+E860-F860-G860),MAX(0,IF(MONATSBUDGET!$C$50="",0,MONATSBUDGET!$C$50)-SUM(F860:F879)-0)))</x:f>
      </x:c>
      <x:c r="I860" s="88" t="str">
        <x:f>IF(C860="","",MAX(0,ROUND(D860+E860-F860-G860-H860,2)))</x:f>
      </x:c>
      <x:c r="J860" s="88" t="str">
        <x:f>IF(C860="","",F860+G860+H860)</x:f>
      </x:c>
      <x:c r="K860" s="88" t="str">
        <x:f>IF(C860="","",MAX(0,SUMIFS(SONDERZAHLUNGEN!$E$9:$E$128,SONDERZAHLUNGEN!$B$9:$B$128,C860,SONDERZAHLUNGEN!$C$9:$C$128,A860,SONDERZAHLUNGEN!$H$9:$H$128,"OK",SONDERZAHLUNGEN!$F$9:$F$128,"Ja")-G860))</x:f>
      </x:c>
    </x:row>
    <x:row r="861" ht="19" customHeight="1">
      <x:c r="A861" s="90" t="n">
        <x:f>MONATSBUDGET!$A$50</x:f>
        <x:v>47515</x:v>
      </x:c>
      <x:c r="B861" t="n">
        <x:f>2</x:f>
        <x:v>2</x:v>
      </x:c>
      <x:c r="C861" t="str">
        <x:f>IF($N$10="","",$N$10)</x:f>
      </x:c>
      <x:c r="D861" s="88" t="str">
        <x:f>IF(C861="","",I841)</x:f>
      </x:c>
      <x:c r="E861" s="88" t="str">
        <x:f>IF(C861="","",ROUND(D861*$P$10/12,2))</x:f>
      </x:c>
      <x:c r="F861" s="88" t="str">
        <x:f>IF(C861="","",MIN(D861+E861,$Q$10))</x:f>
      </x:c>
      <x:c r="G861" s="88" t="str">
        <x:f>IF(C861="","",MIN(MAX(0,D861+E861-F861),SUMIFS(SONDERZAHLUNGEN!$E$9:$E$128,SONDERZAHLUNGEN!$B$9:$B$128,C861,SONDERZAHLUNGEN!$C$9:$C$128,A861,SONDERZAHLUNGEN!$H$9:$H$128,"OK",SONDERZAHLUNGEN!$F$9:$F$128,"Ja")))</x:f>
      </x:c>
      <x:c r="H861" s="88" t="str">
        <x:f>IF(C861="","",MIN(MAX(0,D861+E861-F861-G861),MAX(0,IF(MONATSBUDGET!$C$50="",0,MONATSBUDGET!$C$50)-SUM(F860:F879)-SUM(H860:H860))))</x:f>
      </x:c>
      <x:c r="I861" s="88" t="str">
        <x:f>IF(C861="","",MAX(0,ROUND(D861+E861-F861-G861-H861,2)))</x:f>
      </x:c>
      <x:c r="J861" s="88" t="str">
        <x:f>IF(C861="","",F861+G861+H861)</x:f>
      </x:c>
      <x:c r="K861" s="88" t="str">
        <x:f>IF(C861="","",MAX(0,SUMIFS(SONDERZAHLUNGEN!$E$9:$E$128,SONDERZAHLUNGEN!$B$9:$B$128,C861,SONDERZAHLUNGEN!$C$9:$C$128,A861,SONDERZAHLUNGEN!$H$9:$H$128,"OK",SONDERZAHLUNGEN!$F$9:$F$128,"Ja")-G861))</x:f>
      </x:c>
    </x:row>
    <x:row r="862" ht="19" customHeight="1">
      <x:c r="A862" s="90" t="n">
        <x:f>MONATSBUDGET!$A$50</x:f>
        <x:v>47515</x:v>
      </x:c>
      <x:c r="B862" t="n">
        <x:f>3</x:f>
        <x:v>3</x:v>
      </x:c>
      <x:c r="C862" t="str">
        <x:f>IF($N$11="","",$N$11)</x:f>
      </x:c>
      <x:c r="D862" s="88" t="str">
        <x:f>IF(C862="","",I842)</x:f>
      </x:c>
      <x:c r="E862" s="88" t="str">
        <x:f>IF(C862="","",ROUND(D862*$P$11/12,2))</x:f>
      </x:c>
      <x:c r="F862" s="88" t="str">
        <x:f>IF(C862="","",MIN(D862+E862,$Q$11))</x:f>
      </x:c>
      <x:c r="G862" s="88" t="str">
        <x:f>IF(C862="","",MIN(MAX(0,D862+E862-F862),SUMIFS(SONDERZAHLUNGEN!$E$9:$E$128,SONDERZAHLUNGEN!$B$9:$B$128,C862,SONDERZAHLUNGEN!$C$9:$C$128,A862,SONDERZAHLUNGEN!$H$9:$H$128,"OK",SONDERZAHLUNGEN!$F$9:$F$128,"Ja")))</x:f>
      </x:c>
      <x:c r="H862" s="88" t="str">
        <x:f>IF(C862="","",MIN(MAX(0,D862+E862-F862-G862),MAX(0,IF(MONATSBUDGET!$C$50="",0,MONATSBUDGET!$C$50)-SUM(F860:F879)-SUM(H860:H861))))</x:f>
      </x:c>
      <x:c r="I862" s="88" t="str">
        <x:f>IF(C862="","",MAX(0,ROUND(D862+E862-F862-G862-H862,2)))</x:f>
      </x:c>
      <x:c r="J862" s="88" t="str">
        <x:f>IF(C862="","",F862+G862+H862)</x:f>
      </x:c>
      <x:c r="K862" s="88" t="str">
        <x:f>IF(C862="","",MAX(0,SUMIFS(SONDERZAHLUNGEN!$E$9:$E$128,SONDERZAHLUNGEN!$B$9:$B$128,C862,SONDERZAHLUNGEN!$C$9:$C$128,A862,SONDERZAHLUNGEN!$H$9:$H$128,"OK",SONDERZAHLUNGEN!$F$9:$F$128,"Ja")-G862))</x:f>
      </x:c>
    </x:row>
    <x:row r="863" ht="19" customHeight="1">
      <x:c r="A863" s="90" t="n">
        <x:f>MONATSBUDGET!$A$50</x:f>
        <x:v>47515</x:v>
      </x:c>
      <x:c r="B863" t="n">
        <x:f>4</x:f>
        <x:v>4</x:v>
      </x:c>
      <x:c r="C863" t="str">
        <x:f>IF($N$12="","",$N$12)</x:f>
      </x:c>
      <x:c r="D863" s="88" t="str">
        <x:f>IF(C863="","",I843)</x:f>
      </x:c>
      <x:c r="E863" s="88" t="str">
        <x:f>IF(C863="","",ROUND(D863*$P$12/12,2))</x:f>
      </x:c>
      <x:c r="F863" s="88" t="str">
        <x:f>IF(C863="","",MIN(D863+E863,$Q$12))</x:f>
      </x:c>
      <x:c r="G863" s="88" t="str">
        <x:f>IF(C863="","",MIN(MAX(0,D863+E863-F863),SUMIFS(SONDERZAHLUNGEN!$E$9:$E$128,SONDERZAHLUNGEN!$B$9:$B$128,C863,SONDERZAHLUNGEN!$C$9:$C$128,A863,SONDERZAHLUNGEN!$H$9:$H$128,"OK",SONDERZAHLUNGEN!$F$9:$F$128,"Ja")))</x:f>
      </x:c>
      <x:c r="H863" s="88" t="str">
        <x:f>IF(C863="","",MIN(MAX(0,D863+E863-F863-G863),MAX(0,IF(MONATSBUDGET!$C$50="",0,MONATSBUDGET!$C$50)-SUM(F860:F879)-SUM(H860:H862))))</x:f>
      </x:c>
      <x:c r="I863" s="88" t="str">
        <x:f>IF(C863="","",MAX(0,ROUND(D863+E863-F863-G863-H863,2)))</x:f>
      </x:c>
      <x:c r="J863" s="88" t="str">
        <x:f>IF(C863="","",F863+G863+H863)</x:f>
      </x:c>
      <x:c r="K863" s="88" t="str">
        <x:f>IF(C863="","",MAX(0,SUMIFS(SONDERZAHLUNGEN!$E$9:$E$128,SONDERZAHLUNGEN!$B$9:$B$128,C863,SONDERZAHLUNGEN!$C$9:$C$128,A863,SONDERZAHLUNGEN!$H$9:$H$128,"OK",SONDERZAHLUNGEN!$F$9:$F$128,"Ja")-G863))</x:f>
      </x:c>
    </x:row>
    <x:row r="864" ht="19" customHeight="1">
      <x:c r="A864" s="90" t="n">
        <x:f>MONATSBUDGET!$A$50</x:f>
        <x:v>47515</x:v>
      </x:c>
      <x:c r="B864" t="n">
        <x:f>5</x:f>
        <x:v>5</x:v>
      </x:c>
      <x:c r="C864" t="str">
        <x:f>IF($N$13="","",$N$13)</x:f>
      </x:c>
      <x:c r="D864" s="88" t="str">
        <x:f>IF(C864="","",I844)</x:f>
      </x:c>
      <x:c r="E864" s="88" t="str">
        <x:f>IF(C864="","",ROUND(D864*$P$13/12,2))</x:f>
      </x:c>
      <x:c r="F864" s="88" t="str">
        <x:f>IF(C864="","",MIN(D864+E864,$Q$13))</x:f>
      </x:c>
      <x:c r="G864" s="88" t="str">
        <x:f>IF(C864="","",MIN(MAX(0,D864+E864-F864),SUMIFS(SONDERZAHLUNGEN!$E$9:$E$128,SONDERZAHLUNGEN!$B$9:$B$128,C864,SONDERZAHLUNGEN!$C$9:$C$128,A864,SONDERZAHLUNGEN!$H$9:$H$128,"OK",SONDERZAHLUNGEN!$F$9:$F$128,"Ja")))</x:f>
      </x:c>
      <x:c r="H864" s="88" t="str">
        <x:f>IF(C864="","",MIN(MAX(0,D864+E864-F864-G864),MAX(0,IF(MONATSBUDGET!$C$50="",0,MONATSBUDGET!$C$50)-SUM(F860:F879)-SUM(H860:H863))))</x:f>
      </x:c>
      <x:c r="I864" s="88" t="str">
        <x:f>IF(C864="","",MAX(0,ROUND(D864+E864-F864-G864-H864,2)))</x:f>
      </x:c>
      <x:c r="J864" s="88" t="str">
        <x:f>IF(C864="","",F864+G864+H864)</x:f>
      </x:c>
      <x:c r="K864" s="88" t="str">
        <x:f>IF(C864="","",MAX(0,SUMIFS(SONDERZAHLUNGEN!$E$9:$E$128,SONDERZAHLUNGEN!$B$9:$B$128,C864,SONDERZAHLUNGEN!$C$9:$C$128,A864,SONDERZAHLUNGEN!$H$9:$H$128,"OK",SONDERZAHLUNGEN!$F$9:$F$128,"Ja")-G864))</x:f>
      </x:c>
    </x:row>
    <x:row r="865" ht="19" customHeight="1">
      <x:c r="A865" s="90" t="n">
        <x:f>MONATSBUDGET!$A$50</x:f>
        <x:v>47515</x:v>
      </x:c>
      <x:c r="B865" t="n">
        <x:f>6</x:f>
        <x:v>6</x:v>
      </x:c>
      <x:c r="C865" t="str">
        <x:f>IF($N$14="","",$N$14)</x:f>
      </x:c>
      <x:c r="D865" s="88" t="str">
        <x:f>IF(C865="","",I845)</x:f>
      </x:c>
      <x:c r="E865" s="88" t="str">
        <x:f>IF(C865="","",ROUND(D865*$P$14/12,2))</x:f>
      </x:c>
      <x:c r="F865" s="88" t="str">
        <x:f>IF(C865="","",MIN(D865+E865,$Q$14))</x:f>
      </x:c>
      <x:c r="G865" s="88" t="str">
        <x:f>IF(C865="","",MIN(MAX(0,D865+E865-F865),SUMIFS(SONDERZAHLUNGEN!$E$9:$E$128,SONDERZAHLUNGEN!$B$9:$B$128,C865,SONDERZAHLUNGEN!$C$9:$C$128,A865,SONDERZAHLUNGEN!$H$9:$H$128,"OK",SONDERZAHLUNGEN!$F$9:$F$128,"Ja")))</x:f>
      </x:c>
      <x:c r="H865" s="88" t="str">
        <x:f>IF(C865="","",MIN(MAX(0,D865+E865-F865-G865),MAX(0,IF(MONATSBUDGET!$C$50="",0,MONATSBUDGET!$C$50)-SUM(F860:F879)-SUM(H860:H864))))</x:f>
      </x:c>
      <x:c r="I865" s="88" t="str">
        <x:f>IF(C865="","",MAX(0,ROUND(D865+E865-F865-G865-H865,2)))</x:f>
      </x:c>
      <x:c r="J865" s="88" t="str">
        <x:f>IF(C865="","",F865+G865+H865)</x:f>
      </x:c>
      <x:c r="K865" s="88" t="str">
        <x:f>IF(C865="","",MAX(0,SUMIFS(SONDERZAHLUNGEN!$E$9:$E$128,SONDERZAHLUNGEN!$B$9:$B$128,C865,SONDERZAHLUNGEN!$C$9:$C$128,A865,SONDERZAHLUNGEN!$H$9:$H$128,"OK",SONDERZAHLUNGEN!$F$9:$F$128,"Ja")-G865))</x:f>
      </x:c>
    </x:row>
    <x:row r="866" ht="19" customHeight="1">
      <x:c r="A866" s="90" t="n">
        <x:f>MONATSBUDGET!$A$50</x:f>
        <x:v>47515</x:v>
      </x:c>
      <x:c r="B866" t="n">
        <x:f>7</x:f>
        <x:v>7</x:v>
      </x:c>
      <x:c r="C866" t="str">
        <x:f>IF($N$15="","",$N$15)</x:f>
      </x:c>
      <x:c r="D866" s="88" t="str">
        <x:f>IF(C866="","",I846)</x:f>
      </x:c>
      <x:c r="E866" s="88" t="str">
        <x:f>IF(C866="","",ROUND(D866*$P$15/12,2))</x:f>
      </x:c>
      <x:c r="F866" s="88" t="str">
        <x:f>IF(C866="","",MIN(D866+E866,$Q$15))</x:f>
      </x:c>
      <x:c r="G866" s="88" t="str">
        <x:f>IF(C866="","",MIN(MAX(0,D866+E866-F866),SUMIFS(SONDERZAHLUNGEN!$E$9:$E$128,SONDERZAHLUNGEN!$B$9:$B$128,C866,SONDERZAHLUNGEN!$C$9:$C$128,A866,SONDERZAHLUNGEN!$H$9:$H$128,"OK",SONDERZAHLUNGEN!$F$9:$F$128,"Ja")))</x:f>
      </x:c>
      <x:c r="H866" s="88" t="str">
        <x:f>IF(C866="","",MIN(MAX(0,D866+E866-F866-G866),MAX(0,IF(MONATSBUDGET!$C$50="",0,MONATSBUDGET!$C$50)-SUM(F860:F879)-SUM(H860:H865))))</x:f>
      </x:c>
      <x:c r="I866" s="88" t="str">
        <x:f>IF(C866="","",MAX(0,ROUND(D866+E866-F866-G866-H866,2)))</x:f>
      </x:c>
      <x:c r="J866" s="88" t="str">
        <x:f>IF(C866="","",F866+G866+H866)</x:f>
      </x:c>
      <x:c r="K866" s="88" t="str">
        <x:f>IF(C866="","",MAX(0,SUMIFS(SONDERZAHLUNGEN!$E$9:$E$128,SONDERZAHLUNGEN!$B$9:$B$128,C866,SONDERZAHLUNGEN!$C$9:$C$128,A866,SONDERZAHLUNGEN!$H$9:$H$128,"OK",SONDERZAHLUNGEN!$F$9:$F$128,"Ja")-G866))</x:f>
      </x:c>
    </x:row>
    <x:row r="867" ht="19" customHeight="1">
      <x:c r="A867" s="90" t="n">
        <x:f>MONATSBUDGET!$A$50</x:f>
        <x:v>47515</x:v>
      </x:c>
      <x:c r="B867" t="n">
        <x:f>8</x:f>
        <x:v>8</x:v>
      </x:c>
      <x:c r="C867" t="str">
        <x:f>IF($N$16="","",$N$16)</x:f>
      </x:c>
      <x:c r="D867" s="88" t="str">
        <x:f>IF(C867="","",I847)</x:f>
      </x:c>
      <x:c r="E867" s="88" t="str">
        <x:f>IF(C867="","",ROUND(D867*$P$16/12,2))</x:f>
      </x:c>
      <x:c r="F867" s="88" t="str">
        <x:f>IF(C867="","",MIN(D867+E867,$Q$16))</x:f>
      </x:c>
      <x:c r="G867" s="88" t="str">
        <x:f>IF(C867="","",MIN(MAX(0,D867+E867-F867),SUMIFS(SONDERZAHLUNGEN!$E$9:$E$128,SONDERZAHLUNGEN!$B$9:$B$128,C867,SONDERZAHLUNGEN!$C$9:$C$128,A867,SONDERZAHLUNGEN!$H$9:$H$128,"OK",SONDERZAHLUNGEN!$F$9:$F$128,"Ja")))</x:f>
      </x:c>
      <x:c r="H867" s="88" t="str">
        <x:f>IF(C867="","",MIN(MAX(0,D867+E867-F867-G867),MAX(0,IF(MONATSBUDGET!$C$50="",0,MONATSBUDGET!$C$50)-SUM(F860:F879)-SUM(H860:H866))))</x:f>
      </x:c>
      <x:c r="I867" s="88" t="str">
        <x:f>IF(C867="","",MAX(0,ROUND(D867+E867-F867-G867-H867,2)))</x:f>
      </x:c>
      <x:c r="J867" s="88" t="str">
        <x:f>IF(C867="","",F867+G867+H867)</x:f>
      </x:c>
      <x:c r="K867" s="88" t="str">
        <x:f>IF(C867="","",MAX(0,SUMIFS(SONDERZAHLUNGEN!$E$9:$E$128,SONDERZAHLUNGEN!$B$9:$B$128,C867,SONDERZAHLUNGEN!$C$9:$C$128,A867,SONDERZAHLUNGEN!$H$9:$H$128,"OK",SONDERZAHLUNGEN!$F$9:$F$128,"Ja")-G867))</x:f>
      </x:c>
    </x:row>
    <x:row r="868" ht="19" customHeight="1">
      <x:c r="A868" s="90" t="n">
        <x:f>MONATSBUDGET!$A$50</x:f>
        <x:v>47515</x:v>
      </x:c>
      <x:c r="B868" t="n">
        <x:f>9</x:f>
        <x:v>9</x:v>
      </x:c>
      <x:c r="C868" t="str">
        <x:f>IF($N$17="","",$N$17)</x:f>
      </x:c>
      <x:c r="D868" s="88" t="str">
        <x:f>IF(C868="","",I848)</x:f>
      </x:c>
      <x:c r="E868" s="88" t="str">
        <x:f>IF(C868="","",ROUND(D868*$P$17/12,2))</x:f>
      </x:c>
      <x:c r="F868" s="88" t="str">
        <x:f>IF(C868="","",MIN(D868+E868,$Q$17))</x:f>
      </x:c>
      <x:c r="G868" s="88" t="str">
        <x:f>IF(C868="","",MIN(MAX(0,D868+E868-F868),SUMIFS(SONDERZAHLUNGEN!$E$9:$E$128,SONDERZAHLUNGEN!$B$9:$B$128,C868,SONDERZAHLUNGEN!$C$9:$C$128,A868,SONDERZAHLUNGEN!$H$9:$H$128,"OK",SONDERZAHLUNGEN!$F$9:$F$128,"Ja")))</x:f>
      </x:c>
      <x:c r="H868" s="88" t="str">
        <x:f>IF(C868="","",MIN(MAX(0,D868+E868-F868-G868),MAX(0,IF(MONATSBUDGET!$C$50="",0,MONATSBUDGET!$C$50)-SUM(F860:F879)-SUM(H860:H867))))</x:f>
      </x:c>
      <x:c r="I868" s="88" t="str">
        <x:f>IF(C868="","",MAX(0,ROUND(D868+E868-F868-G868-H868,2)))</x:f>
      </x:c>
      <x:c r="J868" s="88" t="str">
        <x:f>IF(C868="","",F868+G868+H868)</x:f>
      </x:c>
      <x:c r="K868" s="88" t="str">
        <x:f>IF(C868="","",MAX(0,SUMIFS(SONDERZAHLUNGEN!$E$9:$E$128,SONDERZAHLUNGEN!$B$9:$B$128,C868,SONDERZAHLUNGEN!$C$9:$C$128,A868,SONDERZAHLUNGEN!$H$9:$H$128,"OK",SONDERZAHLUNGEN!$F$9:$F$128,"Ja")-G868))</x:f>
      </x:c>
    </x:row>
    <x:row r="869" ht="19" customHeight="1">
      <x:c r="A869" s="90" t="n">
        <x:f>MONATSBUDGET!$A$50</x:f>
        <x:v>47515</x:v>
      </x:c>
      <x:c r="B869" t="n">
        <x:f>10</x:f>
        <x:v>10</x:v>
      </x:c>
      <x:c r="C869" t="str">
        <x:f>IF($N$18="","",$N$18)</x:f>
      </x:c>
      <x:c r="D869" s="88" t="str">
        <x:f>IF(C869="","",I849)</x:f>
      </x:c>
      <x:c r="E869" s="88" t="str">
        <x:f>IF(C869="","",ROUND(D869*$P$18/12,2))</x:f>
      </x:c>
      <x:c r="F869" s="88" t="str">
        <x:f>IF(C869="","",MIN(D869+E869,$Q$18))</x:f>
      </x:c>
      <x:c r="G869" s="88" t="str">
        <x:f>IF(C869="","",MIN(MAX(0,D869+E869-F869),SUMIFS(SONDERZAHLUNGEN!$E$9:$E$128,SONDERZAHLUNGEN!$B$9:$B$128,C869,SONDERZAHLUNGEN!$C$9:$C$128,A869,SONDERZAHLUNGEN!$H$9:$H$128,"OK",SONDERZAHLUNGEN!$F$9:$F$128,"Ja")))</x:f>
      </x:c>
      <x:c r="H869" s="88" t="str">
        <x:f>IF(C869="","",MIN(MAX(0,D869+E869-F869-G869),MAX(0,IF(MONATSBUDGET!$C$50="",0,MONATSBUDGET!$C$50)-SUM(F860:F879)-SUM(H860:H868))))</x:f>
      </x:c>
      <x:c r="I869" s="88" t="str">
        <x:f>IF(C869="","",MAX(0,ROUND(D869+E869-F869-G869-H869,2)))</x:f>
      </x:c>
      <x:c r="J869" s="88" t="str">
        <x:f>IF(C869="","",F869+G869+H869)</x:f>
      </x:c>
      <x:c r="K869" s="88" t="str">
        <x:f>IF(C869="","",MAX(0,SUMIFS(SONDERZAHLUNGEN!$E$9:$E$128,SONDERZAHLUNGEN!$B$9:$B$128,C869,SONDERZAHLUNGEN!$C$9:$C$128,A869,SONDERZAHLUNGEN!$H$9:$H$128,"OK",SONDERZAHLUNGEN!$F$9:$F$128,"Ja")-G869))</x:f>
      </x:c>
    </x:row>
    <x:row r="870" ht="19" customHeight="1">
      <x:c r="A870" s="90" t="n">
        <x:f>MONATSBUDGET!$A$50</x:f>
        <x:v>47515</x:v>
      </x:c>
      <x:c r="B870" t="n">
        <x:f>11</x:f>
        <x:v>11</x:v>
      </x:c>
      <x:c r="C870" t="str">
        <x:f>IF($N$19="","",$N$19)</x:f>
      </x:c>
      <x:c r="D870" s="88" t="str">
        <x:f>IF(C870="","",I850)</x:f>
      </x:c>
      <x:c r="E870" s="88" t="str">
        <x:f>IF(C870="","",ROUND(D870*$P$19/12,2))</x:f>
      </x:c>
      <x:c r="F870" s="88" t="str">
        <x:f>IF(C870="","",MIN(D870+E870,$Q$19))</x:f>
      </x:c>
      <x:c r="G870" s="88" t="str">
        <x:f>IF(C870="","",MIN(MAX(0,D870+E870-F870),SUMIFS(SONDERZAHLUNGEN!$E$9:$E$128,SONDERZAHLUNGEN!$B$9:$B$128,C870,SONDERZAHLUNGEN!$C$9:$C$128,A870,SONDERZAHLUNGEN!$H$9:$H$128,"OK",SONDERZAHLUNGEN!$F$9:$F$128,"Ja")))</x:f>
      </x:c>
      <x:c r="H870" s="88" t="str">
        <x:f>IF(C870="","",MIN(MAX(0,D870+E870-F870-G870),MAX(0,IF(MONATSBUDGET!$C$50="",0,MONATSBUDGET!$C$50)-SUM(F860:F879)-SUM(H860:H869))))</x:f>
      </x:c>
      <x:c r="I870" s="88" t="str">
        <x:f>IF(C870="","",MAX(0,ROUND(D870+E870-F870-G870-H870,2)))</x:f>
      </x:c>
      <x:c r="J870" s="88" t="str">
        <x:f>IF(C870="","",F870+G870+H870)</x:f>
      </x:c>
      <x:c r="K870" s="88" t="str">
        <x:f>IF(C870="","",MAX(0,SUMIFS(SONDERZAHLUNGEN!$E$9:$E$128,SONDERZAHLUNGEN!$B$9:$B$128,C870,SONDERZAHLUNGEN!$C$9:$C$128,A870,SONDERZAHLUNGEN!$H$9:$H$128,"OK",SONDERZAHLUNGEN!$F$9:$F$128,"Ja")-G870))</x:f>
      </x:c>
    </x:row>
    <x:row r="871" ht="19" customHeight="1">
      <x:c r="A871" s="90" t="n">
        <x:f>MONATSBUDGET!$A$50</x:f>
        <x:v>47515</x:v>
      </x:c>
      <x:c r="B871" t="n">
        <x:f>12</x:f>
        <x:v>12</x:v>
      </x:c>
      <x:c r="C871" t="str">
        <x:f>IF($N$20="","",$N$20)</x:f>
      </x:c>
      <x:c r="D871" s="88" t="str">
        <x:f>IF(C871="","",I851)</x:f>
      </x:c>
      <x:c r="E871" s="88" t="str">
        <x:f>IF(C871="","",ROUND(D871*$P$20/12,2))</x:f>
      </x:c>
      <x:c r="F871" s="88" t="str">
        <x:f>IF(C871="","",MIN(D871+E871,$Q$20))</x:f>
      </x:c>
      <x:c r="G871" s="88" t="str">
        <x:f>IF(C871="","",MIN(MAX(0,D871+E871-F871),SUMIFS(SONDERZAHLUNGEN!$E$9:$E$128,SONDERZAHLUNGEN!$B$9:$B$128,C871,SONDERZAHLUNGEN!$C$9:$C$128,A871,SONDERZAHLUNGEN!$H$9:$H$128,"OK",SONDERZAHLUNGEN!$F$9:$F$128,"Ja")))</x:f>
      </x:c>
      <x:c r="H871" s="88" t="str">
        <x:f>IF(C871="","",MIN(MAX(0,D871+E871-F871-G871),MAX(0,IF(MONATSBUDGET!$C$50="",0,MONATSBUDGET!$C$50)-SUM(F860:F879)-SUM(H860:H870))))</x:f>
      </x:c>
      <x:c r="I871" s="88" t="str">
        <x:f>IF(C871="","",MAX(0,ROUND(D871+E871-F871-G871-H871,2)))</x:f>
      </x:c>
      <x:c r="J871" s="88" t="str">
        <x:f>IF(C871="","",F871+G871+H871)</x:f>
      </x:c>
      <x:c r="K871" s="88" t="str">
        <x:f>IF(C871="","",MAX(0,SUMIFS(SONDERZAHLUNGEN!$E$9:$E$128,SONDERZAHLUNGEN!$B$9:$B$128,C871,SONDERZAHLUNGEN!$C$9:$C$128,A871,SONDERZAHLUNGEN!$H$9:$H$128,"OK",SONDERZAHLUNGEN!$F$9:$F$128,"Ja")-G871))</x:f>
      </x:c>
    </x:row>
    <x:row r="872" ht="19" customHeight="1">
      <x:c r="A872" s="90" t="n">
        <x:f>MONATSBUDGET!$A$50</x:f>
        <x:v>47515</x:v>
      </x:c>
      <x:c r="B872" t="n">
        <x:f>13</x:f>
        <x:v>13</x:v>
      </x:c>
      <x:c r="C872" t="str">
        <x:f>IF($N$21="","",$N$21)</x:f>
      </x:c>
      <x:c r="D872" s="88" t="str">
        <x:f>IF(C872="","",I852)</x:f>
      </x:c>
      <x:c r="E872" s="88" t="str">
        <x:f>IF(C872="","",ROUND(D872*$P$21/12,2))</x:f>
      </x:c>
      <x:c r="F872" s="88" t="str">
        <x:f>IF(C872="","",MIN(D872+E872,$Q$21))</x:f>
      </x:c>
      <x:c r="G872" s="88" t="str">
        <x:f>IF(C872="","",MIN(MAX(0,D872+E872-F872),SUMIFS(SONDERZAHLUNGEN!$E$9:$E$128,SONDERZAHLUNGEN!$B$9:$B$128,C872,SONDERZAHLUNGEN!$C$9:$C$128,A872,SONDERZAHLUNGEN!$H$9:$H$128,"OK",SONDERZAHLUNGEN!$F$9:$F$128,"Ja")))</x:f>
      </x:c>
      <x:c r="H872" s="88" t="str">
        <x:f>IF(C872="","",MIN(MAX(0,D872+E872-F872-G872),MAX(0,IF(MONATSBUDGET!$C$50="",0,MONATSBUDGET!$C$50)-SUM(F860:F879)-SUM(H860:H871))))</x:f>
      </x:c>
      <x:c r="I872" s="88" t="str">
        <x:f>IF(C872="","",MAX(0,ROUND(D872+E872-F872-G872-H872,2)))</x:f>
      </x:c>
      <x:c r="J872" s="88" t="str">
        <x:f>IF(C872="","",F872+G872+H872)</x:f>
      </x:c>
      <x:c r="K872" s="88" t="str">
        <x:f>IF(C872="","",MAX(0,SUMIFS(SONDERZAHLUNGEN!$E$9:$E$128,SONDERZAHLUNGEN!$B$9:$B$128,C872,SONDERZAHLUNGEN!$C$9:$C$128,A872,SONDERZAHLUNGEN!$H$9:$H$128,"OK",SONDERZAHLUNGEN!$F$9:$F$128,"Ja")-G872))</x:f>
      </x:c>
    </x:row>
    <x:row r="873" ht="19" customHeight="1">
      <x:c r="A873" s="90" t="n">
        <x:f>MONATSBUDGET!$A$50</x:f>
        <x:v>47515</x:v>
      </x:c>
      <x:c r="B873" t="n">
        <x:f>14</x:f>
        <x:v>14</x:v>
      </x:c>
      <x:c r="C873" t="str">
        <x:f>IF($N$22="","",$N$22)</x:f>
      </x:c>
      <x:c r="D873" s="88" t="str">
        <x:f>IF(C873="","",I853)</x:f>
      </x:c>
      <x:c r="E873" s="88" t="str">
        <x:f>IF(C873="","",ROUND(D873*$P$22/12,2))</x:f>
      </x:c>
      <x:c r="F873" s="88" t="str">
        <x:f>IF(C873="","",MIN(D873+E873,$Q$22))</x:f>
      </x:c>
      <x:c r="G873" s="88" t="str">
        <x:f>IF(C873="","",MIN(MAX(0,D873+E873-F873),SUMIFS(SONDERZAHLUNGEN!$E$9:$E$128,SONDERZAHLUNGEN!$B$9:$B$128,C873,SONDERZAHLUNGEN!$C$9:$C$128,A873,SONDERZAHLUNGEN!$H$9:$H$128,"OK",SONDERZAHLUNGEN!$F$9:$F$128,"Ja")))</x:f>
      </x:c>
      <x:c r="H873" s="88" t="str">
        <x:f>IF(C873="","",MIN(MAX(0,D873+E873-F873-G873),MAX(0,IF(MONATSBUDGET!$C$50="",0,MONATSBUDGET!$C$50)-SUM(F860:F879)-SUM(H860:H872))))</x:f>
      </x:c>
      <x:c r="I873" s="88" t="str">
        <x:f>IF(C873="","",MAX(0,ROUND(D873+E873-F873-G873-H873,2)))</x:f>
      </x:c>
      <x:c r="J873" s="88" t="str">
        <x:f>IF(C873="","",F873+G873+H873)</x:f>
      </x:c>
      <x:c r="K873" s="88" t="str">
        <x:f>IF(C873="","",MAX(0,SUMIFS(SONDERZAHLUNGEN!$E$9:$E$128,SONDERZAHLUNGEN!$B$9:$B$128,C873,SONDERZAHLUNGEN!$C$9:$C$128,A873,SONDERZAHLUNGEN!$H$9:$H$128,"OK",SONDERZAHLUNGEN!$F$9:$F$128,"Ja")-G873))</x:f>
      </x:c>
    </x:row>
    <x:row r="874" ht="19" customHeight="1">
      <x:c r="A874" s="90" t="n">
        <x:f>MONATSBUDGET!$A$50</x:f>
        <x:v>47515</x:v>
      </x:c>
      <x:c r="B874" t="n">
        <x:f>15</x:f>
        <x:v>15</x:v>
      </x:c>
      <x:c r="C874" t="str">
        <x:f>IF($N$23="","",$N$23)</x:f>
      </x:c>
      <x:c r="D874" s="88" t="str">
        <x:f>IF(C874="","",I854)</x:f>
      </x:c>
      <x:c r="E874" s="88" t="str">
        <x:f>IF(C874="","",ROUND(D874*$P$23/12,2))</x:f>
      </x:c>
      <x:c r="F874" s="88" t="str">
        <x:f>IF(C874="","",MIN(D874+E874,$Q$23))</x:f>
      </x:c>
      <x:c r="G874" s="88" t="str">
        <x:f>IF(C874="","",MIN(MAX(0,D874+E874-F874),SUMIFS(SONDERZAHLUNGEN!$E$9:$E$128,SONDERZAHLUNGEN!$B$9:$B$128,C874,SONDERZAHLUNGEN!$C$9:$C$128,A874,SONDERZAHLUNGEN!$H$9:$H$128,"OK",SONDERZAHLUNGEN!$F$9:$F$128,"Ja")))</x:f>
      </x:c>
      <x:c r="H874" s="88" t="str">
        <x:f>IF(C874="","",MIN(MAX(0,D874+E874-F874-G874),MAX(0,IF(MONATSBUDGET!$C$50="",0,MONATSBUDGET!$C$50)-SUM(F860:F879)-SUM(H860:H873))))</x:f>
      </x:c>
      <x:c r="I874" s="88" t="str">
        <x:f>IF(C874="","",MAX(0,ROUND(D874+E874-F874-G874-H874,2)))</x:f>
      </x:c>
      <x:c r="J874" s="88" t="str">
        <x:f>IF(C874="","",F874+G874+H874)</x:f>
      </x:c>
      <x:c r="K874" s="88" t="str">
        <x:f>IF(C874="","",MAX(0,SUMIFS(SONDERZAHLUNGEN!$E$9:$E$128,SONDERZAHLUNGEN!$B$9:$B$128,C874,SONDERZAHLUNGEN!$C$9:$C$128,A874,SONDERZAHLUNGEN!$H$9:$H$128,"OK",SONDERZAHLUNGEN!$F$9:$F$128,"Ja")-G874))</x:f>
      </x:c>
    </x:row>
    <x:row r="875" ht="19" customHeight="1">
      <x:c r="A875" s="90" t="n">
        <x:f>MONATSBUDGET!$A$50</x:f>
        <x:v>47515</x:v>
      </x:c>
      <x:c r="B875" t="n">
        <x:f>16</x:f>
        <x:v>16</x:v>
      </x:c>
      <x:c r="C875" t="str">
        <x:f>IF($N$24="","",$N$24)</x:f>
      </x:c>
      <x:c r="D875" s="88" t="str">
        <x:f>IF(C875="","",I855)</x:f>
      </x:c>
      <x:c r="E875" s="88" t="str">
        <x:f>IF(C875="","",ROUND(D875*$P$24/12,2))</x:f>
      </x:c>
      <x:c r="F875" s="88" t="str">
        <x:f>IF(C875="","",MIN(D875+E875,$Q$24))</x:f>
      </x:c>
      <x:c r="G875" s="88" t="str">
        <x:f>IF(C875="","",MIN(MAX(0,D875+E875-F875),SUMIFS(SONDERZAHLUNGEN!$E$9:$E$128,SONDERZAHLUNGEN!$B$9:$B$128,C875,SONDERZAHLUNGEN!$C$9:$C$128,A875,SONDERZAHLUNGEN!$H$9:$H$128,"OK",SONDERZAHLUNGEN!$F$9:$F$128,"Ja")))</x:f>
      </x:c>
      <x:c r="H875" s="88" t="str">
        <x:f>IF(C875="","",MIN(MAX(0,D875+E875-F875-G875),MAX(0,IF(MONATSBUDGET!$C$50="",0,MONATSBUDGET!$C$50)-SUM(F860:F879)-SUM(H860:H874))))</x:f>
      </x:c>
      <x:c r="I875" s="88" t="str">
        <x:f>IF(C875="","",MAX(0,ROUND(D875+E875-F875-G875-H875,2)))</x:f>
      </x:c>
      <x:c r="J875" s="88" t="str">
        <x:f>IF(C875="","",F875+G875+H875)</x:f>
      </x:c>
      <x:c r="K875" s="88" t="str">
        <x:f>IF(C875="","",MAX(0,SUMIFS(SONDERZAHLUNGEN!$E$9:$E$128,SONDERZAHLUNGEN!$B$9:$B$128,C875,SONDERZAHLUNGEN!$C$9:$C$128,A875,SONDERZAHLUNGEN!$H$9:$H$128,"OK",SONDERZAHLUNGEN!$F$9:$F$128,"Ja")-G875))</x:f>
      </x:c>
    </x:row>
    <x:row r="876" ht="19" customHeight="1">
      <x:c r="A876" s="90" t="n">
        <x:f>MONATSBUDGET!$A$50</x:f>
        <x:v>47515</x:v>
      </x:c>
      <x:c r="B876" t="n">
        <x:f>17</x:f>
        <x:v>17</x:v>
      </x:c>
      <x:c r="C876" t="str">
        <x:f>IF($N$25="","",$N$25)</x:f>
      </x:c>
      <x:c r="D876" s="88" t="str">
        <x:f>IF(C876="","",I856)</x:f>
      </x:c>
      <x:c r="E876" s="88" t="str">
        <x:f>IF(C876="","",ROUND(D876*$P$25/12,2))</x:f>
      </x:c>
      <x:c r="F876" s="88" t="str">
        <x:f>IF(C876="","",MIN(D876+E876,$Q$25))</x:f>
      </x:c>
      <x:c r="G876" s="88" t="str">
        <x:f>IF(C876="","",MIN(MAX(0,D876+E876-F876),SUMIFS(SONDERZAHLUNGEN!$E$9:$E$128,SONDERZAHLUNGEN!$B$9:$B$128,C876,SONDERZAHLUNGEN!$C$9:$C$128,A876,SONDERZAHLUNGEN!$H$9:$H$128,"OK",SONDERZAHLUNGEN!$F$9:$F$128,"Ja")))</x:f>
      </x:c>
      <x:c r="H876" s="88" t="str">
        <x:f>IF(C876="","",MIN(MAX(0,D876+E876-F876-G876),MAX(0,IF(MONATSBUDGET!$C$50="",0,MONATSBUDGET!$C$50)-SUM(F860:F879)-SUM(H860:H875))))</x:f>
      </x:c>
      <x:c r="I876" s="88" t="str">
        <x:f>IF(C876="","",MAX(0,ROUND(D876+E876-F876-G876-H876,2)))</x:f>
      </x:c>
      <x:c r="J876" s="88" t="str">
        <x:f>IF(C876="","",F876+G876+H876)</x:f>
      </x:c>
      <x:c r="K876" s="88" t="str">
        <x:f>IF(C876="","",MAX(0,SUMIFS(SONDERZAHLUNGEN!$E$9:$E$128,SONDERZAHLUNGEN!$B$9:$B$128,C876,SONDERZAHLUNGEN!$C$9:$C$128,A876,SONDERZAHLUNGEN!$H$9:$H$128,"OK",SONDERZAHLUNGEN!$F$9:$F$128,"Ja")-G876))</x:f>
      </x:c>
    </x:row>
    <x:row r="877" ht="19" customHeight="1">
      <x:c r="A877" s="90" t="n">
        <x:f>MONATSBUDGET!$A$50</x:f>
        <x:v>47515</x:v>
      </x:c>
      <x:c r="B877" t="n">
        <x:f>18</x:f>
        <x:v>18</x:v>
      </x:c>
      <x:c r="C877" t="str">
        <x:f>IF($N$26="","",$N$26)</x:f>
      </x:c>
      <x:c r="D877" s="88" t="str">
        <x:f>IF(C877="","",I857)</x:f>
      </x:c>
      <x:c r="E877" s="88" t="str">
        <x:f>IF(C877="","",ROUND(D877*$P$26/12,2))</x:f>
      </x:c>
      <x:c r="F877" s="88" t="str">
        <x:f>IF(C877="","",MIN(D877+E877,$Q$26))</x:f>
      </x:c>
      <x:c r="G877" s="88" t="str">
        <x:f>IF(C877="","",MIN(MAX(0,D877+E877-F877),SUMIFS(SONDERZAHLUNGEN!$E$9:$E$128,SONDERZAHLUNGEN!$B$9:$B$128,C877,SONDERZAHLUNGEN!$C$9:$C$128,A877,SONDERZAHLUNGEN!$H$9:$H$128,"OK",SONDERZAHLUNGEN!$F$9:$F$128,"Ja")))</x:f>
      </x:c>
      <x:c r="H877" s="88" t="str">
        <x:f>IF(C877="","",MIN(MAX(0,D877+E877-F877-G877),MAX(0,IF(MONATSBUDGET!$C$50="",0,MONATSBUDGET!$C$50)-SUM(F860:F879)-SUM(H860:H876))))</x:f>
      </x:c>
      <x:c r="I877" s="88" t="str">
        <x:f>IF(C877="","",MAX(0,ROUND(D877+E877-F877-G877-H877,2)))</x:f>
      </x:c>
      <x:c r="J877" s="88" t="str">
        <x:f>IF(C877="","",F877+G877+H877)</x:f>
      </x:c>
      <x:c r="K877" s="88" t="str">
        <x:f>IF(C877="","",MAX(0,SUMIFS(SONDERZAHLUNGEN!$E$9:$E$128,SONDERZAHLUNGEN!$B$9:$B$128,C877,SONDERZAHLUNGEN!$C$9:$C$128,A877,SONDERZAHLUNGEN!$H$9:$H$128,"OK",SONDERZAHLUNGEN!$F$9:$F$128,"Ja")-G877))</x:f>
      </x:c>
    </x:row>
    <x:row r="878" ht="19" customHeight="1">
      <x:c r="A878" s="90" t="n">
        <x:f>MONATSBUDGET!$A$50</x:f>
        <x:v>47515</x:v>
      </x:c>
      <x:c r="B878" t="n">
        <x:f>19</x:f>
        <x:v>19</x:v>
      </x:c>
      <x:c r="C878" t="str">
        <x:f>IF($N$27="","",$N$27)</x:f>
      </x:c>
      <x:c r="D878" s="88" t="str">
        <x:f>IF(C878="","",I858)</x:f>
      </x:c>
      <x:c r="E878" s="88" t="str">
        <x:f>IF(C878="","",ROUND(D878*$P$27/12,2))</x:f>
      </x:c>
      <x:c r="F878" s="88" t="str">
        <x:f>IF(C878="","",MIN(D878+E878,$Q$27))</x:f>
      </x:c>
      <x:c r="G878" s="88" t="str">
        <x:f>IF(C878="","",MIN(MAX(0,D878+E878-F878),SUMIFS(SONDERZAHLUNGEN!$E$9:$E$128,SONDERZAHLUNGEN!$B$9:$B$128,C878,SONDERZAHLUNGEN!$C$9:$C$128,A878,SONDERZAHLUNGEN!$H$9:$H$128,"OK",SONDERZAHLUNGEN!$F$9:$F$128,"Ja")))</x:f>
      </x:c>
      <x:c r="H878" s="88" t="str">
        <x:f>IF(C878="","",MIN(MAX(0,D878+E878-F878-G878),MAX(0,IF(MONATSBUDGET!$C$50="",0,MONATSBUDGET!$C$50)-SUM(F860:F879)-SUM(H860:H877))))</x:f>
      </x:c>
      <x:c r="I878" s="88" t="str">
        <x:f>IF(C878="","",MAX(0,ROUND(D878+E878-F878-G878-H878,2)))</x:f>
      </x:c>
      <x:c r="J878" s="88" t="str">
        <x:f>IF(C878="","",F878+G878+H878)</x:f>
      </x:c>
      <x:c r="K878" s="88" t="str">
        <x:f>IF(C878="","",MAX(0,SUMIFS(SONDERZAHLUNGEN!$E$9:$E$128,SONDERZAHLUNGEN!$B$9:$B$128,C878,SONDERZAHLUNGEN!$C$9:$C$128,A878,SONDERZAHLUNGEN!$H$9:$H$128,"OK",SONDERZAHLUNGEN!$F$9:$F$128,"Ja")-G878))</x:f>
      </x:c>
    </x:row>
    <x:row r="879" ht="19" customHeight="1">
      <x:c r="A879" s="90" t="n">
        <x:f>MONATSBUDGET!$A$50</x:f>
        <x:v>47515</x:v>
      </x:c>
      <x:c r="B879" t="n">
        <x:f>20</x:f>
        <x:v>20</x:v>
      </x:c>
      <x:c r="C879" t="str">
        <x:f>IF($N$28="","",$N$28)</x:f>
      </x:c>
      <x:c r="D879" s="88" t="str">
        <x:f>IF(C879="","",I859)</x:f>
      </x:c>
      <x:c r="E879" s="88" t="str">
        <x:f>IF(C879="","",ROUND(D879*$P$28/12,2))</x:f>
      </x:c>
      <x:c r="F879" s="88" t="str">
        <x:f>IF(C879="","",MIN(D879+E879,$Q$28))</x:f>
      </x:c>
      <x:c r="G879" s="88" t="str">
        <x:f>IF(C879="","",MIN(MAX(0,D879+E879-F879),SUMIFS(SONDERZAHLUNGEN!$E$9:$E$128,SONDERZAHLUNGEN!$B$9:$B$128,C879,SONDERZAHLUNGEN!$C$9:$C$128,A879,SONDERZAHLUNGEN!$H$9:$H$128,"OK",SONDERZAHLUNGEN!$F$9:$F$128,"Ja")))</x:f>
      </x:c>
      <x:c r="H879" s="88" t="str">
        <x:f>IF(C879="","",MIN(MAX(0,D879+E879-F879-G879),MAX(0,IF(MONATSBUDGET!$C$50="",0,MONATSBUDGET!$C$50)-SUM(F860:F879)-SUM(H860:H878))))</x:f>
      </x:c>
      <x:c r="I879" s="88" t="str">
        <x:f>IF(C879="","",MAX(0,ROUND(D879+E879-F879-G879-H879,2)))</x:f>
      </x:c>
      <x:c r="J879" s="88" t="str">
        <x:f>IF(C879="","",F879+G879+H879)</x:f>
      </x:c>
      <x:c r="K879" s="88" t="str">
        <x:f>IF(C879="","",MAX(0,SUMIFS(SONDERZAHLUNGEN!$E$9:$E$128,SONDERZAHLUNGEN!$B$9:$B$128,C879,SONDERZAHLUNGEN!$C$9:$C$128,A879,SONDERZAHLUNGEN!$H$9:$H$128,"OK",SONDERZAHLUNGEN!$F$9:$F$128,"Ja")-G879))</x:f>
      </x:c>
    </x:row>
    <x:row r="880" ht="19" customHeight="1">
      <x:c r="A880" s="90" t="n">
        <x:f>MONATSBUDGET!$A$51</x:f>
        <x:v>47543</x:v>
      </x:c>
      <x:c r="B880" t="n">
        <x:f>1</x:f>
        <x:v>1</x:v>
      </x:c>
      <x:c r="C880" t="str">
        <x:f>IF($N$9="","",$N$9)</x:f>
      </x:c>
      <x:c r="D880" s="88" t="str">
        <x:f>IF(C880="","",I860)</x:f>
      </x:c>
      <x:c r="E880" s="88" t="str">
        <x:f>IF(C880="","",ROUND(D880*$P$9/12,2))</x:f>
      </x:c>
      <x:c r="F880" s="88" t="str">
        <x:f>IF(C880="","",MIN(D880+E880,$Q$9))</x:f>
      </x:c>
      <x:c r="G880" s="88" t="str">
        <x:f>IF(C880="","",MIN(MAX(0,D880+E880-F880),SUMIFS(SONDERZAHLUNGEN!$E$9:$E$128,SONDERZAHLUNGEN!$B$9:$B$128,C880,SONDERZAHLUNGEN!$C$9:$C$128,A880,SONDERZAHLUNGEN!$H$9:$H$128,"OK",SONDERZAHLUNGEN!$F$9:$F$128,"Ja")))</x:f>
      </x:c>
      <x:c r="H880" s="88" t="str">
        <x:f>IF(C880="","",MIN(MAX(0,D880+E880-F880-G880),MAX(0,IF(MONATSBUDGET!$C$51="",0,MONATSBUDGET!$C$51)-SUM(F880:F899)-0)))</x:f>
      </x:c>
      <x:c r="I880" s="88" t="str">
        <x:f>IF(C880="","",MAX(0,ROUND(D880+E880-F880-G880-H880,2)))</x:f>
      </x:c>
      <x:c r="J880" s="88" t="str">
        <x:f>IF(C880="","",F880+G880+H880)</x:f>
      </x:c>
      <x:c r="K880" s="88" t="str">
        <x:f>IF(C880="","",MAX(0,SUMIFS(SONDERZAHLUNGEN!$E$9:$E$128,SONDERZAHLUNGEN!$B$9:$B$128,C880,SONDERZAHLUNGEN!$C$9:$C$128,A880,SONDERZAHLUNGEN!$H$9:$H$128,"OK",SONDERZAHLUNGEN!$F$9:$F$128,"Ja")-G880))</x:f>
      </x:c>
    </x:row>
    <x:row r="881" ht="19" customHeight="1">
      <x:c r="A881" s="90" t="n">
        <x:f>MONATSBUDGET!$A$51</x:f>
        <x:v>47543</x:v>
      </x:c>
      <x:c r="B881" t="n">
        <x:f>2</x:f>
        <x:v>2</x:v>
      </x:c>
      <x:c r="C881" t="str">
        <x:f>IF($N$10="","",$N$10)</x:f>
      </x:c>
      <x:c r="D881" s="88" t="str">
        <x:f>IF(C881="","",I861)</x:f>
      </x:c>
      <x:c r="E881" s="88" t="str">
        <x:f>IF(C881="","",ROUND(D881*$P$10/12,2))</x:f>
      </x:c>
      <x:c r="F881" s="88" t="str">
        <x:f>IF(C881="","",MIN(D881+E881,$Q$10))</x:f>
      </x:c>
      <x:c r="G881" s="88" t="str">
        <x:f>IF(C881="","",MIN(MAX(0,D881+E881-F881),SUMIFS(SONDERZAHLUNGEN!$E$9:$E$128,SONDERZAHLUNGEN!$B$9:$B$128,C881,SONDERZAHLUNGEN!$C$9:$C$128,A881,SONDERZAHLUNGEN!$H$9:$H$128,"OK",SONDERZAHLUNGEN!$F$9:$F$128,"Ja")))</x:f>
      </x:c>
      <x:c r="H881" s="88" t="str">
        <x:f>IF(C881="","",MIN(MAX(0,D881+E881-F881-G881),MAX(0,IF(MONATSBUDGET!$C$51="",0,MONATSBUDGET!$C$51)-SUM(F880:F899)-SUM(H880:H880))))</x:f>
      </x:c>
      <x:c r="I881" s="88" t="str">
        <x:f>IF(C881="","",MAX(0,ROUND(D881+E881-F881-G881-H881,2)))</x:f>
      </x:c>
      <x:c r="J881" s="88" t="str">
        <x:f>IF(C881="","",F881+G881+H881)</x:f>
      </x:c>
      <x:c r="K881" s="88" t="str">
        <x:f>IF(C881="","",MAX(0,SUMIFS(SONDERZAHLUNGEN!$E$9:$E$128,SONDERZAHLUNGEN!$B$9:$B$128,C881,SONDERZAHLUNGEN!$C$9:$C$128,A881,SONDERZAHLUNGEN!$H$9:$H$128,"OK",SONDERZAHLUNGEN!$F$9:$F$128,"Ja")-G881))</x:f>
      </x:c>
    </x:row>
    <x:row r="882" ht="19" customHeight="1">
      <x:c r="A882" s="90" t="n">
        <x:f>MONATSBUDGET!$A$51</x:f>
        <x:v>47543</x:v>
      </x:c>
      <x:c r="B882" t="n">
        <x:f>3</x:f>
        <x:v>3</x:v>
      </x:c>
      <x:c r="C882" t="str">
        <x:f>IF($N$11="","",$N$11)</x:f>
      </x:c>
      <x:c r="D882" s="88" t="str">
        <x:f>IF(C882="","",I862)</x:f>
      </x:c>
      <x:c r="E882" s="88" t="str">
        <x:f>IF(C882="","",ROUND(D882*$P$11/12,2))</x:f>
      </x:c>
      <x:c r="F882" s="88" t="str">
        <x:f>IF(C882="","",MIN(D882+E882,$Q$11))</x:f>
      </x:c>
      <x:c r="G882" s="88" t="str">
        <x:f>IF(C882="","",MIN(MAX(0,D882+E882-F882),SUMIFS(SONDERZAHLUNGEN!$E$9:$E$128,SONDERZAHLUNGEN!$B$9:$B$128,C882,SONDERZAHLUNGEN!$C$9:$C$128,A882,SONDERZAHLUNGEN!$H$9:$H$128,"OK",SONDERZAHLUNGEN!$F$9:$F$128,"Ja")))</x:f>
      </x:c>
      <x:c r="H882" s="88" t="str">
        <x:f>IF(C882="","",MIN(MAX(0,D882+E882-F882-G882),MAX(0,IF(MONATSBUDGET!$C$51="",0,MONATSBUDGET!$C$51)-SUM(F880:F899)-SUM(H880:H881))))</x:f>
      </x:c>
      <x:c r="I882" s="88" t="str">
        <x:f>IF(C882="","",MAX(0,ROUND(D882+E882-F882-G882-H882,2)))</x:f>
      </x:c>
      <x:c r="J882" s="88" t="str">
        <x:f>IF(C882="","",F882+G882+H882)</x:f>
      </x:c>
      <x:c r="K882" s="88" t="str">
        <x:f>IF(C882="","",MAX(0,SUMIFS(SONDERZAHLUNGEN!$E$9:$E$128,SONDERZAHLUNGEN!$B$9:$B$128,C882,SONDERZAHLUNGEN!$C$9:$C$128,A882,SONDERZAHLUNGEN!$H$9:$H$128,"OK",SONDERZAHLUNGEN!$F$9:$F$128,"Ja")-G882))</x:f>
      </x:c>
    </x:row>
    <x:row r="883" ht="19" customHeight="1">
      <x:c r="A883" s="90" t="n">
        <x:f>MONATSBUDGET!$A$51</x:f>
        <x:v>47543</x:v>
      </x:c>
      <x:c r="B883" t="n">
        <x:f>4</x:f>
        <x:v>4</x:v>
      </x:c>
      <x:c r="C883" t="str">
        <x:f>IF($N$12="","",$N$12)</x:f>
      </x:c>
      <x:c r="D883" s="88" t="str">
        <x:f>IF(C883="","",I863)</x:f>
      </x:c>
      <x:c r="E883" s="88" t="str">
        <x:f>IF(C883="","",ROUND(D883*$P$12/12,2))</x:f>
      </x:c>
      <x:c r="F883" s="88" t="str">
        <x:f>IF(C883="","",MIN(D883+E883,$Q$12))</x:f>
      </x:c>
      <x:c r="G883" s="88" t="str">
        <x:f>IF(C883="","",MIN(MAX(0,D883+E883-F883),SUMIFS(SONDERZAHLUNGEN!$E$9:$E$128,SONDERZAHLUNGEN!$B$9:$B$128,C883,SONDERZAHLUNGEN!$C$9:$C$128,A883,SONDERZAHLUNGEN!$H$9:$H$128,"OK",SONDERZAHLUNGEN!$F$9:$F$128,"Ja")))</x:f>
      </x:c>
      <x:c r="H883" s="88" t="str">
        <x:f>IF(C883="","",MIN(MAX(0,D883+E883-F883-G883),MAX(0,IF(MONATSBUDGET!$C$51="",0,MONATSBUDGET!$C$51)-SUM(F880:F899)-SUM(H880:H882))))</x:f>
      </x:c>
      <x:c r="I883" s="88" t="str">
        <x:f>IF(C883="","",MAX(0,ROUND(D883+E883-F883-G883-H883,2)))</x:f>
      </x:c>
      <x:c r="J883" s="88" t="str">
        <x:f>IF(C883="","",F883+G883+H883)</x:f>
      </x:c>
      <x:c r="K883" s="88" t="str">
        <x:f>IF(C883="","",MAX(0,SUMIFS(SONDERZAHLUNGEN!$E$9:$E$128,SONDERZAHLUNGEN!$B$9:$B$128,C883,SONDERZAHLUNGEN!$C$9:$C$128,A883,SONDERZAHLUNGEN!$H$9:$H$128,"OK",SONDERZAHLUNGEN!$F$9:$F$128,"Ja")-G883))</x:f>
      </x:c>
    </x:row>
    <x:row r="884" ht="19" customHeight="1">
      <x:c r="A884" s="90" t="n">
        <x:f>MONATSBUDGET!$A$51</x:f>
        <x:v>47543</x:v>
      </x:c>
      <x:c r="B884" t="n">
        <x:f>5</x:f>
        <x:v>5</x:v>
      </x:c>
      <x:c r="C884" t="str">
        <x:f>IF($N$13="","",$N$13)</x:f>
      </x:c>
      <x:c r="D884" s="88" t="str">
        <x:f>IF(C884="","",I864)</x:f>
      </x:c>
      <x:c r="E884" s="88" t="str">
        <x:f>IF(C884="","",ROUND(D884*$P$13/12,2))</x:f>
      </x:c>
      <x:c r="F884" s="88" t="str">
        <x:f>IF(C884="","",MIN(D884+E884,$Q$13))</x:f>
      </x:c>
      <x:c r="G884" s="88" t="str">
        <x:f>IF(C884="","",MIN(MAX(0,D884+E884-F884),SUMIFS(SONDERZAHLUNGEN!$E$9:$E$128,SONDERZAHLUNGEN!$B$9:$B$128,C884,SONDERZAHLUNGEN!$C$9:$C$128,A884,SONDERZAHLUNGEN!$H$9:$H$128,"OK",SONDERZAHLUNGEN!$F$9:$F$128,"Ja")))</x:f>
      </x:c>
      <x:c r="H884" s="88" t="str">
        <x:f>IF(C884="","",MIN(MAX(0,D884+E884-F884-G884),MAX(0,IF(MONATSBUDGET!$C$51="",0,MONATSBUDGET!$C$51)-SUM(F880:F899)-SUM(H880:H883))))</x:f>
      </x:c>
      <x:c r="I884" s="88" t="str">
        <x:f>IF(C884="","",MAX(0,ROUND(D884+E884-F884-G884-H884,2)))</x:f>
      </x:c>
      <x:c r="J884" s="88" t="str">
        <x:f>IF(C884="","",F884+G884+H884)</x:f>
      </x:c>
      <x:c r="K884" s="88" t="str">
        <x:f>IF(C884="","",MAX(0,SUMIFS(SONDERZAHLUNGEN!$E$9:$E$128,SONDERZAHLUNGEN!$B$9:$B$128,C884,SONDERZAHLUNGEN!$C$9:$C$128,A884,SONDERZAHLUNGEN!$H$9:$H$128,"OK",SONDERZAHLUNGEN!$F$9:$F$128,"Ja")-G884))</x:f>
      </x:c>
    </x:row>
    <x:row r="885" ht="19" customHeight="1">
      <x:c r="A885" s="90" t="n">
        <x:f>MONATSBUDGET!$A$51</x:f>
        <x:v>47543</x:v>
      </x:c>
      <x:c r="B885" t="n">
        <x:f>6</x:f>
        <x:v>6</x:v>
      </x:c>
      <x:c r="C885" t="str">
        <x:f>IF($N$14="","",$N$14)</x:f>
      </x:c>
      <x:c r="D885" s="88" t="str">
        <x:f>IF(C885="","",I865)</x:f>
      </x:c>
      <x:c r="E885" s="88" t="str">
        <x:f>IF(C885="","",ROUND(D885*$P$14/12,2))</x:f>
      </x:c>
      <x:c r="F885" s="88" t="str">
        <x:f>IF(C885="","",MIN(D885+E885,$Q$14))</x:f>
      </x:c>
      <x:c r="G885" s="88" t="str">
        <x:f>IF(C885="","",MIN(MAX(0,D885+E885-F885),SUMIFS(SONDERZAHLUNGEN!$E$9:$E$128,SONDERZAHLUNGEN!$B$9:$B$128,C885,SONDERZAHLUNGEN!$C$9:$C$128,A885,SONDERZAHLUNGEN!$H$9:$H$128,"OK",SONDERZAHLUNGEN!$F$9:$F$128,"Ja")))</x:f>
      </x:c>
      <x:c r="H885" s="88" t="str">
        <x:f>IF(C885="","",MIN(MAX(0,D885+E885-F885-G885),MAX(0,IF(MONATSBUDGET!$C$51="",0,MONATSBUDGET!$C$51)-SUM(F880:F899)-SUM(H880:H884))))</x:f>
      </x:c>
      <x:c r="I885" s="88" t="str">
        <x:f>IF(C885="","",MAX(0,ROUND(D885+E885-F885-G885-H885,2)))</x:f>
      </x:c>
      <x:c r="J885" s="88" t="str">
        <x:f>IF(C885="","",F885+G885+H885)</x:f>
      </x:c>
      <x:c r="K885" s="88" t="str">
        <x:f>IF(C885="","",MAX(0,SUMIFS(SONDERZAHLUNGEN!$E$9:$E$128,SONDERZAHLUNGEN!$B$9:$B$128,C885,SONDERZAHLUNGEN!$C$9:$C$128,A885,SONDERZAHLUNGEN!$H$9:$H$128,"OK",SONDERZAHLUNGEN!$F$9:$F$128,"Ja")-G885))</x:f>
      </x:c>
    </x:row>
    <x:row r="886" ht="19" customHeight="1">
      <x:c r="A886" s="90" t="n">
        <x:f>MONATSBUDGET!$A$51</x:f>
        <x:v>47543</x:v>
      </x:c>
      <x:c r="B886" t="n">
        <x:f>7</x:f>
        <x:v>7</x:v>
      </x:c>
      <x:c r="C886" t="str">
        <x:f>IF($N$15="","",$N$15)</x:f>
      </x:c>
      <x:c r="D886" s="88" t="str">
        <x:f>IF(C886="","",I866)</x:f>
      </x:c>
      <x:c r="E886" s="88" t="str">
        <x:f>IF(C886="","",ROUND(D886*$P$15/12,2))</x:f>
      </x:c>
      <x:c r="F886" s="88" t="str">
        <x:f>IF(C886="","",MIN(D886+E886,$Q$15))</x:f>
      </x:c>
      <x:c r="G886" s="88" t="str">
        <x:f>IF(C886="","",MIN(MAX(0,D886+E886-F886),SUMIFS(SONDERZAHLUNGEN!$E$9:$E$128,SONDERZAHLUNGEN!$B$9:$B$128,C886,SONDERZAHLUNGEN!$C$9:$C$128,A886,SONDERZAHLUNGEN!$H$9:$H$128,"OK",SONDERZAHLUNGEN!$F$9:$F$128,"Ja")))</x:f>
      </x:c>
      <x:c r="H886" s="88" t="str">
        <x:f>IF(C886="","",MIN(MAX(0,D886+E886-F886-G886),MAX(0,IF(MONATSBUDGET!$C$51="",0,MONATSBUDGET!$C$51)-SUM(F880:F899)-SUM(H880:H885))))</x:f>
      </x:c>
      <x:c r="I886" s="88" t="str">
        <x:f>IF(C886="","",MAX(0,ROUND(D886+E886-F886-G886-H886,2)))</x:f>
      </x:c>
      <x:c r="J886" s="88" t="str">
        <x:f>IF(C886="","",F886+G886+H886)</x:f>
      </x:c>
      <x:c r="K886" s="88" t="str">
        <x:f>IF(C886="","",MAX(0,SUMIFS(SONDERZAHLUNGEN!$E$9:$E$128,SONDERZAHLUNGEN!$B$9:$B$128,C886,SONDERZAHLUNGEN!$C$9:$C$128,A886,SONDERZAHLUNGEN!$H$9:$H$128,"OK",SONDERZAHLUNGEN!$F$9:$F$128,"Ja")-G886))</x:f>
      </x:c>
    </x:row>
    <x:row r="887" ht="19" customHeight="1">
      <x:c r="A887" s="90" t="n">
        <x:f>MONATSBUDGET!$A$51</x:f>
        <x:v>47543</x:v>
      </x:c>
      <x:c r="B887" t="n">
        <x:f>8</x:f>
        <x:v>8</x:v>
      </x:c>
      <x:c r="C887" t="str">
        <x:f>IF($N$16="","",$N$16)</x:f>
      </x:c>
      <x:c r="D887" s="88" t="str">
        <x:f>IF(C887="","",I867)</x:f>
      </x:c>
      <x:c r="E887" s="88" t="str">
        <x:f>IF(C887="","",ROUND(D887*$P$16/12,2))</x:f>
      </x:c>
      <x:c r="F887" s="88" t="str">
        <x:f>IF(C887="","",MIN(D887+E887,$Q$16))</x:f>
      </x:c>
      <x:c r="G887" s="88" t="str">
        <x:f>IF(C887="","",MIN(MAX(0,D887+E887-F887),SUMIFS(SONDERZAHLUNGEN!$E$9:$E$128,SONDERZAHLUNGEN!$B$9:$B$128,C887,SONDERZAHLUNGEN!$C$9:$C$128,A887,SONDERZAHLUNGEN!$H$9:$H$128,"OK",SONDERZAHLUNGEN!$F$9:$F$128,"Ja")))</x:f>
      </x:c>
      <x:c r="H887" s="88" t="str">
        <x:f>IF(C887="","",MIN(MAX(0,D887+E887-F887-G887),MAX(0,IF(MONATSBUDGET!$C$51="",0,MONATSBUDGET!$C$51)-SUM(F880:F899)-SUM(H880:H886))))</x:f>
      </x:c>
      <x:c r="I887" s="88" t="str">
        <x:f>IF(C887="","",MAX(0,ROUND(D887+E887-F887-G887-H887,2)))</x:f>
      </x:c>
      <x:c r="J887" s="88" t="str">
        <x:f>IF(C887="","",F887+G887+H887)</x:f>
      </x:c>
      <x:c r="K887" s="88" t="str">
        <x:f>IF(C887="","",MAX(0,SUMIFS(SONDERZAHLUNGEN!$E$9:$E$128,SONDERZAHLUNGEN!$B$9:$B$128,C887,SONDERZAHLUNGEN!$C$9:$C$128,A887,SONDERZAHLUNGEN!$H$9:$H$128,"OK",SONDERZAHLUNGEN!$F$9:$F$128,"Ja")-G887))</x:f>
      </x:c>
    </x:row>
    <x:row r="888" ht="19" customHeight="1">
      <x:c r="A888" s="90" t="n">
        <x:f>MONATSBUDGET!$A$51</x:f>
        <x:v>47543</x:v>
      </x:c>
      <x:c r="B888" t="n">
        <x:f>9</x:f>
        <x:v>9</x:v>
      </x:c>
      <x:c r="C888" t="str">
        <x:f>IF($N$17="","",$N$17)</x:f>
      </x:c>
      <x:c r="D888" s="88" t="str">
        <x:f>IF(C888="","",I868)</x:f>
      </x:c>
      <x:c r="E888" s="88" t="str">
        <x:f>IF(C888="","",ROUND(D888*$P$17/12,2))</x:f>
      </x:c>
      <x:c r="F888" s="88" t="str">
        <x:f>IF(C888="","",MIN(D888+E888,$Q$17))</x:f>
      </x:c>
      <x:c r="G888" s="88" t="str">
        <x:f>IF(C888="","",MIN(MAX(0,D888+E888-F888),SUMIFS(SONDERZAHLUNGEN!$E$9:$E$128,SONDERZAHLUNGEN!$B$9:$B$128,C888,SONDERZAHLUNGEN!$C$9:$C$128,A888,SONDERZAHLUNGEN!$H$9:$H$128,"OK",SONDERZAHLUNGEN!$F$9:$F$128,"Ja")))</x:f>
      </x:c>
      <x:c r="H888" s="88" t="str">
        <x:f>IF(C888="","",MIN(MAX(0,D888+E888-F888-G888),MAX(0,IF(MONATSBUDGET!$C$51="",0,MONATSBUDGET!$C$51)-SUM(F880:F899)-SUM(H880:H887))))</x:f>
      </x:c>
      <x:c r="I888" s="88" t="str">
        <x:f>IF(C888="","",MAX(0,ROUND(D888+E888-F888-G888-H888,2)))</x:f>
      </x:c>
      <x:c r="J888" s="88" t="str">
        <x:f>IF(C888="","",F888+G888+H888)</x:f>
      </x:c>
      <x:c r="K888" s="88" t="str">
        <x:f>IF(C888="","",MAX(0,SUMIFS(SONDERZAHLUNGEN!$E$9:$E$128,SONDERZAHLUNGEN!$B$9:$B$128,C888,SONDERZAHLUNGEN!$C$9:$C$128,A888,SONDERZAHLUNGEN!$H$9:$H$128,"OK",SONDERZAHLUNGEN!$F$9:$F$128,"Ja")-G888))</x:f>
      </x:c>
    </x:row>
    <x:row r="889" ht="19" customHeight="1">
      <x:c r="A889" s="90" t="n">
        <x:f>MONATSBUDGET!$A$51</x:f>
        <x:v>47543</x:v>
      </x:c>
      <x:c r="B889" t="n">
        <x:f>10</x:f>
        <x:v>10</x:v>
      </x:c>
      <x:c r="C889" t="str">
        <x:f>IF($N$18="","",$N$18)</x:f>
      </x:c>
      <x:c r="D889" s="88" t="str">
        <x:f>IF(C889="","",I869)</x:f>
      </x:c>
      <x:c r="E889" s="88" t="str">
        <x:f>IF(C889="","",ROUND(D889*$P$18/12,2))</x:f>
      </x:c>
      <x:c r="F889" s="88" t="str">
        <x:f>IF(C889="","",MIN(D889+E889,$Q$18))</x:f>
      </x:c>
      <x:c r="G889" s="88" t="str">
        <x:f>IF(C889="","",MIN(MAX(0,D889+E889-F889),SUMIFS(SONDERZAHLUNGEN!$E$9:$E$128,SONDERZAHLUNGEN!$B$9:$B$128,C889,SONDERZAHLUNGEN!$C$9:$C$128,A889,SONDERZAHLUNGEN!$H$9:$H$128,"OK",SONDERZAHLUNGEN!$F$9:$F$128,"Ja")))</x:f>
      </x:c>
      <x:c r="H889" s="88" t="str">
        <x:f>IF(C889="","",MIN(MAX(0,D889+E889-F889-G889),MAX(0,IF(MONATSBUDGET!$C$51="",0,MONATSBUDGET!$C$51)-SUM(F880:F899)-SUM(H880:H888))))</x:f>
      </x:c>
      <x:c r="I889" s="88" t="str">
        <x:f>IF(C889="","",MAX(0,ROUND(D889+E889-F889-G889-H889,2)))</x:f>
      </x:c>
      <x:c r="J889" s="88" t="str">
        <x:f>IF(C889="","",F889+G889+H889)</x:f>
      </x:c>
      <x:c r="K889" s="88" t="str">
        <x:f>IF(C889="","",MAX(0,SUMIFS(SONDERZAHLUNGEN!$E$9:$E$128,SONDERZAHLUNGEN!$B$9:$B$128,C889,SONDERZAHLUNGEN!$C$9:$C$128,A889,SONDERZAHLUNGEN!$H$9:$H$128,"OK",SONDERZAHLUNGEN!$F$9:$F$128,"Ja")-G889))</x:f>
      </x:c>
    </x:row>
    <x:row r="890" ht="19" customHeight="1">
      <x:c r="A890" s="90" t="n">
        <x:f>MONATSBUDGET!$A$51</x:f>
        <x:v>47543</x:v>
      </x:c>
      <x:c r="B890" t="n">
        <x:f>11</x:f>
        <x:v>11</x:v>
      </x:c>
      <x:c r="C890" t="str">
        <x:f>IF($N$19="","",$N$19)</x:f>
      </x:c>
      <x:c r="D890" s="88" t="str">
        <x:f>IF(C890="","",I870)</x:f>
      </x:c>
      <x:c r="E890" s="88" t="str">
        <x:f>IF(C890="","",ROUND(D890*$P$19/12,2))</x:f>
      </x:c>
      <x:c r="F890" s="88" t="str">
        <x:f>IF(C890="","",MIN(D890+E890,$Q$19))</x:f>
      </x:c>
      <x:c r="G890" s="88" t="str">
        <x:f>IF(C890="","",MIN(MAX(0,D890+E890-F890),SUMIFS(SONDERZAHLUNGEN!$E$9:$E$128,SONDERZAHLUNGEN!$B$9:$B$128,C890,SONDERZAHLUNGEN!$C$9:$C$128,A890,SONDERZAHLUNGEN!$H$9:$H$128,"OK",SONDERZAHLUNGEN!$F$9:$F$128,"Ja")))</x:f>
      </x:c>
      <x:c r="H890" s="88" t="str">
        <x:f>IF(C890="","",MIN(MAX(0,D890+E890-F890-G890),MAX(0,IF(MONATSBUDGET!$C$51="",0,MONATSBUDGET!$C$51)-SUM(F880:F899)-SUM(H880:H889))))</x:f>
      </x:c>
      <x:c r="I890" s="88" t="str">
        <x:f>IF(C890="","",MAX(0,ROUND(D890+E890-F890-G890-H890,2)))</x:f>
      </x:c>
      <x:c r="J890" s="88" t="str">
        <x:f>IF(C890="","",F890+G890+H890)</x:f>
      </x:c>
      <x:c r="K890" s="88" t="str">
        <x:f>IF(C890="","",MAX(0,SUMIFS(SONDERZAHLUNGEN!$E$9:$E$128,SONDERZAHLUNGEN!$B$9:$B$128,C890,SONDERZAHLUNGEN!$C$9:$C$128,A890,SONDERZAHLUNGEN!$H$9:$H$128,"OK",SONDERZAHLUNGEN!$F$9:$F$128,"Ja")-G890))</x:f>
      </x:c>
    </x:row>
    <x:row r="891" ht="19" customHeight="1">
      <x:c r="A891" s="90" t="n">
        <x:f>MONATSBUDGET!$A$51</x:f>
        <x:v>47543</x:v>
      </x:c>
      <x:c r="B891" t="n">
        <x:f>12</x:f>
        <x:v>12</x:v>
      </x:c>
      <x:c r="C891" t="str">
        <x:f>IF($N$20="","",$N$20)</x:f>
      </x:c>
      <x:c r="D891" s="88" t="str">
        <x:f>IF(C891="","",I871)</x:f>
      </x:c>
      <x:c r="E891" s="88" t="str">
        <x:f>IF(C891="","",ROUND(D891*$P$20/12,2))</x:f>
      </x:c>
      <x:c r="F891" s="88" t="str">
        <x:f>IF(C891="","",MIN(D891+E891,$Q$20))</x:f>
      </x:c>
      <x:c r="G891" s="88" t="str">
        <x:f>IF(C891="","",MIN(MAX(0,D891+E891-F891),SUMIFS(SONDERZAHLUNGEN!$E$9:$E$128,SONDERZAHLUNGEN!$B$9:$B$128,C891,SONDERZAHLUNGEN!$C$9:$C$128,A891,SONDERZAHLUNGEN!$H$9:$H$128,"OK",SONDERZAHLUNGEN!$F$9:$F$128,"Ja")))</x:f>
      </x:c>
      <x:c r="H891" s="88" t="str">
        <x:f>IF(C891="","",MIN(MAX(0,D891+E891-F891-G891),MAX(0,IF(MONATSBUDGET!$C$51="",0,MONATSBUDGET!$C$51)-SUM(F880:F899)-SUM(H880:H890))))</x:f>
      </x:c>
      <x:c r="I891" s="88" t="str">
        <x:f>IF(C891="","",MAX(0,ROUND(D891+E891-F891-G891-H891,2)))</x:f>
      </x:c>
      <x:c r="J891" s="88" t="str">
        <x:f>IF(C891="","",F891+G891+H891)</x:f>
      </x:c>
      <x:c r="K891" s="88" t="str">
        <x:f>IF(C891="","",MAX(0,SUMIFS(SONDERZAHLUNGEN!$E$9:$E$128,SONDERZAHLUNGEN!$B$9:$B$128,C891,SONDERZAHLUNGEN!$C$9:$C$128,A891,SONDERZAHLUNGEN!$H$9:$H$128,"OK",SONDERZAHLUNGEN!$F$9:$F$128,"Ja")-G891))</x:f>
      </x:c>
    </x:row>
    <x:row r="892" ht="19" customHeight="1">
      <x:c r="A892" s="90" t="n">
        <x:f>MONATSBUDGET!$A$51</x:f>
        <x:v>47543</x:v>
      </x:c>
      <x:c r="B892" t="n">
        <x:f>13</x:f>
        <x:v>13</x:v>
      </x:c>
      <x:c r="C892" t="str">
        <x:f>IF($N$21="","",$N$21)</x:f>
      </x:c>
      <x:c r="D892" s="88" t="str">
        <x:f>IF(C892="","",I872)</x:f>
      </x:c>
      <x:c r="E892" s="88" t="str">
        <x:f>IF(C892="","",ROUND(D892*$P$21/12,2))</x:f>
      </x:c>
      <x:c r="F892" s="88" t="str">
        <x:f>IF(C892="","",MIN(D892+E892,$Q$21))</x:f>
      </x:c>
      <x:c r="G892" s="88" t="str">
        <x:f>IF(C892="","",MIN(MAX(0,D892+E892-F892),SUMIFS(SONDERZAHLUNGEN!$E$9:$E$128,SONDERZAHLUNGEN!$B$9:$B$128,C892,SONDERZAHLUNGEN!$C$9:$C$128,A892,SONDERZAHLUNGEN!$H$9:$H$128,"OK",SONDERZAHLUNGEN!$F$9:$F$128,"Ja")))</x:f>
      </x:c>
      <x:c r="H892" s="88" t="str">
        <x:f>IF(C892="","",MIN(MAX(0,D892+E892-F892-G892),MAX(0,IF(MONATSBUDGET!$C$51="",0,MONATSBUDGET!$C$51)-SUM(F880:F899)-SUM(H880:H891))))</x:f>
      </x:c>
      <x:c r="I892" s="88" t="str">
        <x:f>IF(C892="","",MAX(0,ROUND(D892+E892-F892-G892-H892,2)))</x:f>
      </x:c>
      <x:c r="J892" s="88" t="str">
        <x:f>IF(C892="","",F892+G892+H892)</x:f>
      </x:c>
      <x:c r="K892" s="88" t="str">
        <x:f>IF(C892="","",MAX(0,SUMIFS(SONDERZAHLUNGEN!$E$9:$E$128,SONDERZAHLUNGEN!$B$9:$B$128,C892,SONDERZAHLUNGEN!$C$9:$C$128,A892,SONDERZAHLUNGEN!$H$9:$H$128,"OK",SONDERZAHLUNGEN!$F$9:$F$128,"Ja")-G892))</x:f>
      </x:c>
    </x:row>
    <x:row r="893" ht="19" customHeight="1">
      <x:c r="A893" s="90" t="n">
        <x:f>MONATSBUDGET!$A$51</x:f>
        <x:v>47543</x:v>
      </x:c>
      <x:c r="B893" t="n">
        <x:f>14</x:f>
        <x:v>14</x:v>
      </x:c>
      <x:c r="C893" t="str">
        <x:f>IF($N$22="","",$N$22)</x:f>
      </x:c>
      <x:c r="D893" s="88" t="str">
        <x:f>IF(C893="","",I873)</x:f>
      </x:c>
      <x:c r="E893" s="88" t="str">
        <x:f>IF(C893="","",ROUND(D893*$P$22/12,2))</x:f>
      </x:c>
      <x:c r="F893" s="88" t="str">
        <x:f>IF(C893="","",MIN(D893+E893,$Q$22))</x:f>
      </x:c>
      <x:c r="G893" s="88" t="str">
        <x:f>IF(C893="","",MIN(MAX(0,D893+E893-F893),SUMIFS(SONDERZAHLUNGEN!$E$9:$E$128,SONDERZAHLUNGEN!$B$9:$B$128,C893,SONDERZAHLUNGEN!$C$9:$C$128,A893,SONDERZAHLUNGEN!$H$9:$H$128,"OK",SONDERZAHLUNGEN!$F$9:$F$128,"Ja")))</x:f>
      </x:c>
      <x:c r="H893" s="88" t="str">
        <x:f>IF(C893="","",MIN(MAX(0,D893+E893-F893-G893),MAX(0,IF(MONATSBUDGET!$C$51="",0,MONATSBUDGET!$C$51)-SUM(F880:F899)-SUM(H880:H892))))</x:f>
      </x:c>
      <x:c r="I893" s="88" t="str">
        <x:f>IF(C893="","",MAX(0,ROUND(D893+E893-F893-G893-H893,2)))</x:f>
      </x:c>
      <x:c r="J893" s="88" t="str">
        <x:f>IF(C893="","",F893+G893+H893)</x:f>
      </x:c>
      <x:c r="K893" s="88" t="str">
        <x:f>IF(C893="","",MAX(0,SUMIFS(SONDERZAHLUNGEN!$E$9:$E$128,SONDERZAHLUNGEN!$B$9:$B$128,C893,SONDERZAHLUNGEN!$C$9:$C$128,A893,SONDERZAHLUNGEN!$H$9:$H$128,"OK",SONDERZAHLUNGEN!$F$9:$F$128,"Ja")-G893))</x:f>
      </x:c>
    </x:row>
    <x:row r="894" ht="19" customHeight="1">
      <x:c r="A894" s="90" t="n">
        <x:f>MONATSBUDGET!$A$51</x:f>
        <x:v>47543</x:v>
      </x:c>
      <x:c r="B894" t="n">
        <x:f>15</x:f>
        <x:v>15</x:v>
      </x:c>
      <x:c r="C894" t="str">
        <x:f>IF($N$23="","",$N$23)</x:f>
      </x:c>
      <x:c r="D894" s="88" t="str">
        <x:f>IF(C894="","",I874)</x:f>
      </x:c>
      <x:c r="E894" s="88" t="str">
        <x:f>IF(C894="","",ROUND(D894*$P$23/12,2))</x:f>
      </x:c>
      <x:c r="F894" s="88" t="str">
        <x:f>IF(C894="","",MIN(D894+E894,$Q$23))</x:f>
      </x:c>
      <x:c r="G894" s="88" t="str">
        <x:f>IF(C894="","",MIN(MAX(0,D894+E894-F894),SUMIFS(SONDERZAHLUNGEN!$E$9:$E$128,SONDERZAHLUNGEN!$B$9:$B$128,C894,SONDERZAHLUNGEN!$C$9:$C$128,A894,SONDERZAHLUNGEN!$H$9:$H$128,"OK",SONDERZAHLUNGEN!$F$9:$F$128,"Ja")))</x:f>
      </x:c>
      <x:c r="H894" s="88" t="str">
        <x:f>IF(C894="","",MIN(MAX(0,D894+E894-F894-G894),MAX(0,IF(MONATSBUDGET!$C$51="",0,MONATSBUDGET!$C$51)-SUM(F880:F899)-SUM(H880:H893))))</x:f>
      </x:c>
      <x:c r="I894" s="88" t="str">
        <x:f>IF(C894="","",MAX(0,ROUND(D894+E894-F894-G894-H894,2)))</x:f>
      </x:c>
      <x:c r="J894" s="88" t="str">
        <x:f>IF(C894="","",F894+G894+H894)</x:f>
      </x:c>
      <x:c r="K894" s="88" t="str">
        <x:f>IF(C894="","",MAX(0,SUMIFS(SONDERZAHLUNGEN!$E$9:$E$128,SONDERZAHLUNGEN!$B$9:$B$128,C894,SONDERZAHLUNGEN!$C$9:$C$128,A894,SONDERZAHLUNGEN!$H$9:$H$128,"OK",SONDERZAHLUNGEN!$F$9:$F$128,"Ja")-G894))</x:f>
      </x:c>
    </x:row>
    <x:row r="895" ht="19" customHeight="1">
      <x:c r="A895" s="90" t="n">
        <x:f>MONATSBUDGET!$A$51</x:f>
        <x:v>47543</x:v>
      </x:c>
      <x:c r="B895" t="n">
        <x:f>16</x:f>
        <x:v>16</x:v>
      </x:c>
      <x:c r="C895" t="str">
        <x:f>IF($N$24="","",$N$24)</x:f>
      </x:c>
      <x:c r="D895" s="88" t="str">
        <x:f>IF(C895="","",I875)</x:f>
      </x:c>
      <x:c r="E895" s="88" t="str">
        <x:f>IF(C895="","",ROUND(D895*$P$24/12,2))</x:f>
      </x:c>
      <x:c r="F895" s="88" t="str">
        <x:f>IF(C895="","",MIN(D895+E895,$Q$24))</x:f>
      </x:c>
      <x:c r="G895" s="88" t="str">
        <x:f>IF(C895="","",MIN(MAX(0,D895+E895-F895),SUMIFS(SONDERZAHLUNGEN!$E$9:$E$128,SONDERZAHLUNGEN!$B$9:$B$128,C895,SONDERZAHLUNGEN!$C$9:$C$128,A895,SONDERZAHLUNGEN!$H$9:$H$128,"OK",SONDERZAHLUNGEN!$F$9:$F$128,"Ja")))</x:f>
      </x:c>
      <x:c r="H895" s="88" t="str">
        <x:f>IF(C895="","",MIN(MAX(0,D895+E895-F895-G895),MAX(0,IF(MONATSBUDGET!$C$51="",0,MONATSBUDGET!$C$51)-SUM(F880:F899)-SUM(H880:H894))))</x:f>
      </x:c>
      <x:c r="I895" s="88" t="str">
        <x:f>IF(C895="","",MAX(0,ROUND(D895+E895-F895-G895-H895,2)))</x:f>
      </x:c>
      <x:c r="J895" s="88" t="str">
        <x:f>IF(C895="","",F895+G895+H895)</x:f>
      </x:c>
      <x:c r="K895" s="88" t="str">
        <x:f>IF(C895="","",MAX(0,SUMIFS(SONDERZAHLUNGEN!$E$9:$E$128,SONDERZAHLUNGEN!$B$9:$B$128,C895,SONDERZAHLUNGEN!$C$9:$C$128,A895,SONDERZAHLUNGEN!$H$9:$H$128,"OK",SONDERZAHLUNGEN!$F$9:$F$128,"Ja")-G895))</x:f>
      </x:c>
    </x:row>
    <x:row r="896" ht="19" customHeight="1">
      <x:c r="A896" s="90" t="n">
        <x:f>MONATSBUDGET!$A$51</x:f>
        <x:v>47543</x:v>
      </x:c>
      <x:c r="B896" t="n">
        <x:f>17</x:f>
        <x:v>17</x:v>
      </x:c>
      <x:c r="C896" t="str">
        <x:f>IF($N$25="","",$N$25)</x:f>
      </x:c>
      <x:c r="D896" s="88" t="str">
        <x:f>IF(C896="","",I876)</x:f>
      </x:c>
      <x:c r="E896" s="88" t="str">
        <x:f>IF(C896="","",ROUND(D896*$P$25/12,2))</x:f>
      </x:c>
      <x:c r="F896" s="88" t="str">
        <x:f>IF(C896="","",MIN(D896+E896,$Q$25))</x:f>
      </x:c>
      <x:c r="G896" s="88" t="str">
        <x:f>IF(C896="","",MIN(MAX(0,D896+E896-F896),SUMIFS(SONDERZAHLUNGEN!$E$9:$E$128,SONDERZAHLUNGEN!$B$9:$B$128,C896,SONDERZAHLUNGEN!$C$9:$C$128,A896,SONDERZAHLUNGEN!$H$9:$H$128,"OK",SONDERZAHLUNGEN!$F$9:$F$128,"Ja")))</x:f>
      </x:c>
      <x:c r="H896" s="88" t="str">
        <x:f>IF(C896="","",MIN(MAX(0,D896+E896-F896-G896),MAX(0,IF(MONATSBUDGET!$C$51="",0,MONATSBUDGET!$C$51)-SUM(F880:F899)-SUM(H880:H895))))</x:f>
      </x:c>
      <x:c r="I896" s="88" t="str">
        <x:f>IF(C896="","",MAX(0,ROUND(D896+E896-F896-G896-H896,2)))</x:f>
      </x:c>
      <x:c r="J896" s="88" t="str">
        <x:f>IF(C896="","",F896+G896+H896)</x:f>
      </x:c>
      <x:c r="K896" s="88" t="str">
        <x:f>IF(C896="","",MAX(0,SUMIFS(SONDERZAHLUNGEN!$E$9:$E$128,SONDERZAHLUNGEN!$B$9:$B$128,C896,SONDERZAHLUNGEN!$C$9:$C$128,A896,SONDERZAHLUNGEN!$H$9:$H$128,"OK",SONDERZAHLUNGEN!$F$9:$F$128,"Ja")-G896))</x:f>
      </x:c>
    </x:row>
    <x:row r="897" ht="19" customHeight="1">
      <x:c r="A897" s="90" t="n">
        <x:f>MONATSBUDGET!$A$51</x:f>
        <x:v>47543</x:v>
      </x:c>
      <x:c r="B897" t="n">
        <x:f>18</x:f>
        <x:v>18</x:v>
      </x:c>
      <x:c r="C897" t="str">
        <x:f>IF($N$26="","",$N$26)</x:f>
      </x:c>
      <x:c r="D897" s="88" t="str">
        <x:f>IF(C897="","",I877)</x:f>
      </x:c>
      <x:c r="E897" s="88" t="str">
        <x:f>IF(C897="","",ROUND(D897*$P$26/12,2))</x:f>
      </x:c>
      <x:c r="F897" s="88" t="str">
        <x:f>IF(C897="","",MIN(D897+E897,$Q$26))</x:f>
      </x:c>
      <x:c r="G897" s="88" t="str">
        <x:f>IF(C897="","",MIN(MAX(0,D897+E897-F897),SUMIFS(SONDERZAHLUNGEN!$E$9:$E$128,SONDERZAHLUNGEN!$B$9:$B$128,C897,SONDERZAHLUNGEN!$C$9:$C$128,A897,SONDERZAHLUNGEN!$H$9:$H$128,"OK",SONDERZAHLUNGEN!$F$9:$F$128,"Ja")))</x:f>
      </x:c>
      <x:c r="H897" s="88" t="str">
        <x:f>IF(C897="","",MIN(MAX(0,D897+E897-F897-G897),MAX(0,IF(MONATSBUDGET!$C$51="",0,MONATSBUDGET!$C$51)-SUM(F880:F899)-SUM(H880:H896))))</x:f>
      </x:c>
      <x:c r="I897" s="88" t="str">
        <x:f>IF(C897="","",MAX(0,ROUND(D897+E897-F897-G897-H897,2)))</x:f>
      </x:c>
      <x:c r="J897" s="88" t="str">
        <x:f>IF(C897="","",F897+G897+H897)</x:f>
      </x:c>
      <x:c r="K897" s="88" t="str">
        <x:f>IF(C897="","",MAX(0,SUMIFS(SONDERZAHLUNGEN!$E$9:$E$128,SONDERZAHLUNGEN!$B$9:$B$128,C897,SONDERZAHLUNGEN!$C$9:$C$128,A897,SONDERZAHLUNGEN!$H$9:$H$128,"OK",SONDERZAHLUNGEN!$F$9:$F$128,"Ja")-G897))</x:f>
      </x:c>
    </x:row>
    <x:row r="898" ht="19" customHeight="1">
      <x:c r="A898" s="90" t="n">
        <x:f>MONATSBUDGET!$A$51</x:f>
        <x:v>47543</x:v>
      </x:c>
      <x:c r="B898" t="n">
        <x:f>19</x:f>
        <x:v>19</x:v>
      </x:c>
      <x:c r="C898" t="str">
        <x:f>IF($N$27="","",$N$27)</x:f>
      </x:c>
      <x:c r="D898" s="88" t="str">
        <x:f>IF(C898="","",I878)</x:f>
      </x:c>
      <x:c r="E898" s="88" t="str">
        <x:f>IF(C898="","",ROUND(D898*$P$27/12,2))</x:f>
      </x:c>
      <x:c r="F898" s="88" t="str">
        <x:f>IF(C898="","",MIN(D898+E898,$Q$27))</x:f>
      </x:c>
      <x:c r="G898" s="88" t="str">
        <x:f>IF(C898="","",MIN(MAX(0,D898+E898-F898),SUMIFS(SONDERZAHLUNGEN!$E$9:$E$128,SONDERZAHLUNGEN!$B$9:$B$128,C898,SONDERZAHLUNGEN!$C$9:$C$128,A898,SONDERZAHLUNGEN!$H$9:$H$128,"OK",SONDERZAHLUNGEN!$F$9:$F$128,"Ja")))</x:f>
      </x:c>
      <x:c r="H898" s="88" t="str">
        <x:f>IF(C898="","",MIN(MAX(0,D898+E898-F898-G898),MAX(0,IF(MONATSBUDGET!$C$51="",0,MONATSBUDGET!$C$51)-SUM(F880:F899)-SUM(H880:H897))))</x:f>
      </x:c>
      <x:c r="I898" s="88" t="str">
        <x:f>IF(C898="","",MAX(0,ROUND(D898+E898-F898-G898-H898,2)))</x:f>
      </x:c>
      <x:c r="J898" s="88" t="str">
        <x:f>IF(C898="","",F898+G898+H898)</x:f>
      </x:c>
      <x:c r="K898" s="88" t="str">
        <x:f>IF(C898="","",MAX(0,SUMIFS(SONDERZAHLUNGEN!$E$9:$E$128,SONDERZAHLUNGEN!$B$9:$B$128,C898,SONDERZAHLUNGEN!$C$9:$C$128,A898,SONDERZAHLUNGEN!$H$9:$H$128,"OK",SONDERZAHLUNGEN!$F$9:$F$128,"Ja")-G898))</x:f>
      </x:c>
    </x:row>
    <x:row r="899" ht="19" customHeight="1">
      <x:c r="A899" s="90" t="n">
        <x:f>MONATSBUDGET!$A$51</x:f>
        <x:v>47543</x:v>
      </x:c>
      <x:c r="B899" t="n">
        <x:f>20</x:f>
        <x:v>20</x:v>
      </x:c>
      <x:c r="C899" t="str">
        <x:f>IF($N$28="","",$N$28)</x:f>
      </x:c>
      <x:c r="D899" s="88" t="str">
        <x:f>IF(C899="","",I879)</x:f>
      </x:c>
      <x:c r="E899" s="88" t="str">
        <x:f>IF(C899="","",ROUND(D899*$P$28/12,2))</x:f>
      </x:c>
      <x:c r="F899" s="88" t="str">
        <x:f>IF(C899="","",MIN(D899+E899,$Q$28))</x:f>
      </x:c>
      <x:c r="G899" s="88" t="str">
        <x:f>IF(C899="","",MIN(MAX(0,D899+E899-F899),SUMIFS(SONDERZAHLUNGEN!$E$9:$E$128,SONDERZAHLUNGEN!$B$9:$B$128,C899,SONDERZAHLUNGEN!$C$9:$C$128,A899,SONDERZAHLUNGEN!$H$9:$H$128,"OK",SONDERZAHLUNGEN!$F$9:$F$128,"Ja")))</x:f>
      </x:c>
      <x:c r="H899" s="88" t="str">
        <x:f>IF(C899="","",MIN(MAX(0,D899+E899-F899-G899),MAX(0,IF(MONATSBUDGET!$C$51="",0,MONATSBUDGET!$C$51)-SUM(F880:F899)-SUM(H880:H898))))</x:f>
      </x:c>
      <x:c r="I899" s="88" t="str">
        <x:f>IF(C899="","",MAX(0,ROUND(D899+E899-F899-G899-H899,2)))</x:f>
      </x:c>
      <x:c r="J899" s="88" t="str">
        <x:f>IF(C899="","",F899+G899+H899)</x:f>
      </x:c>
      <x:c r="K899" s="88" t="str">
        <x:f>IF(C899="","",MAX(0,SUMIFS(SONDERZAHLUNGEN!$E$9:$E$128,SONDERZAHLUNGEN!$B$9:$B$128,C899,SONDERZAHLUNGEN!$C$9:$C$128,A899,SONDERZAHLUNGEN!$H$9:$H$128,"OK",SONDERZAHLUNGEN!$F$9:$F$128,"Ja")-G899))</x:f>
      </x:c>
    </x:row>
    <x:row r="900" ht="19" customHeight="1">
      <x:c r="A900" s="90" t="n">
        <x:f>MONATSBUDGET!$A$52</x:f>
        <x:v>47574</x:v>
      </x:c>
      <x:c r="B900" t="n">
        <x:f>1</x:f>
        <x:v>1</x:v>
      </x:c>
      <x:c r="C900" t="str">
        <x:f>IF($N$9="","",$N$9)</x:f>
      </x:c>
      <x:c r="D900" s="88" t="str">
        <x:f>IF(C900="","",I880)</x:f>
      </x:c>
      <x:c r="E900" s="88" t="str">
        <x:f>IF(C900="","",ROUND(D900*$P$9/12,2))</x:f>
      </x:c>
      <x:c r="F900" s="88" t="str">
        <x:f>IF(C900="","",MIN(D900+E900,$Q$9))</x:f>
      </x:c>
      <x:c r="G900" s="88" t="str">
        <x:f>IF(C900="","",MIN(MAX(0,D900+E900-F900),SUMIFS(SONDERZAHLUNGEN!$E$9:$E$128,SONDERZAHLUNGEN!$B$9:$B$128,C900,SONDERZAHLUNGEN!$C$9:$C$128,A900,SONDERZAHLUNGEN!$H$9:$H$128,"OK",SONDERZAHLUNGEN!$F$9:$F$128,"Ja")))</x:f>
      </x:c>
      <x:c r="H900" s="88" t="str">
        <x:f>IF(C900="","",MIN(MAX(0,D900+E900-F900-G900),MAX(0,IF(MONATSBUDGET!$C$52="",0,MONATSBUDGET!$C$52)-SUM(F900:F919)-0)))</x:f>
      </x:c>
      <x:c r="I900" s="88" t="str">
        <x:f>IF(C900="","",MAX(0,ROUND(D900+E900-F900-G900-H900,2)))</x:f>
      </x:c>
      <x:c r="J900" s="88" t="str">
        <x:f>IF(C900="","",F900+G900+H900)</x:f>
      </x:c>
      <x:c r="K900" s="88" t="str">
        <x:f>IF(C900="","",MAX(0,SUMIFS(SONDERZAHLUNGEN!$E$9:$E$128,SONDERZAHLUNGEN!$B$9:$B$128,C900,SONDERZAHLUNGEN!$C$9:$C$128,A900,SONDERZAHLUNGEN!$H$9:$H$128,"OK",SONDERZAHLUNGEN!$F$9:$F$128,"Ja")-G900))</x:f>
      </x:c>
    </x:row>
    <x:row r="901" ht="19" customHeight="1">
      <x:c r="A901" s="90" t="n">
        <x:f>MONATSBUDGET!$A$52</x:f>
        <x:v>47574</x:v>
      </x:c>
      <x:c r="B901" t="n">
        <x:f>2</x:f>
        <x:v>2</x:v>
      </x:c>
      <x:c r="C901" t="str">
        <x:f>IF($N$10="","",$N$10)</x:f>
      </x:c>
      <x:c r="D901" s="88" t="str">
        <x:f>IF(C901="","",I881)</x:f>
      </x:c>
      <x:c r="E901" s="88" t="str">
        <x:f>IF(C901="","",ROUND(D901*$P$10/12,2))</x:f>
      </x:c>
      <x:c r="F901" s="88" t="str">
        <x:f>IF(C901="","",MIN(D901+E901,$Q$10))</x:f>
      </x:c>
      <x:c r="G901" s="88" t="str">
        <x:f>IF(C901="","",MIN(MAX(0,D901+E901-F901),SUMIFS(SONDERZAHLUNGEN!$E$9:$E$128,SONDERZAHLUNGEN!$B$9:$B$128,C901,SONDERZAHLUNGEN!$C$9:$C$128,A901,SONDERZAHLUNGEN!$H$9:$H$128,"OK",SONDERZAHLUNGEN!$F$9:$F$128,"Ja")))</x:f>
      </x:c>
      <x:c r="H901" s="88" t="str">
        <x:f>IF(C901="","",MIN(MAX(0,D901+E901-F901-G901),MAX(0,IF(MONATSBUDGET!$C$52="",0,MONATSBUDGET!$C$52)-SUM(F900:F919)-SUM(H900:H900))))</x:f>
      </x:c>
      <x:c r="I901" s="88" t="str">
        <x:f>IF(C901="","",MAX(0,ROUND(D901+E901-F901-G901-H901,2)))</x:f>
      </x:c>
      <x:c r="J901" s="88" t="str">
        <x:f>IF(C901="","",F901+G901+H901)</x:f>
      </x:c>
      <x:c r="K901" s="88" t="str">
        <x:f>IF(C901="","",MAX(0,SUMIFS(SONDERZAHLUNGEN!$E$9:$E$128,SONDERZAHLUNGEN!$B$9:$B$128,C901,SONDERZAHLUNGEN!$C$9:$C$128,A901,SONDERZAHLUNGEN!$H$9:$H$128,"OK",SONDERZAHLUNGEN!$F$9:$F$128,"Ja")-G901))</x:f>
      </x:c>
    </x:row>
    <x:row r="902" ht="19" customHeight="1">
      <x:c r="A902" s="90" t="n">
        <x:f>MONATSBUDGET!$A$52</x:f>
        <x:v>47574</x:v>
      </x:c>
      <x:c r="B902" t="n">
        <x:f>3</x:f>
        <x:v>3</x:v>
      </x:c>
      <x:c r="C902" t="str">
        <x:f>IF($N$11="","",$N$11)</x:f>
      </x:c>
      <x:c r="D902" s="88" t="str">
        <x:f>IF(C902="","",I882)</x:f>
      </x:c>
      <x:c r="E902" s="88" t="str">
        <x:f>IF(C902="","",ROUND(D902*$P$11/12,2))</x:f>
      </x:c>
      <x:c r="F902" s="88" t="str">
        <x:f>IF(C902="","",MIN(D902+E902,$Q$11))</x:f>
      </x:c>
      <x:c r="G902" s="88" t="str">
        <x:f>IF(C902="","",MIN(MAX(0,D902+E902-F902),SUMIFS(SONDERZAHLUNGEN!$E$9:$E$128,SONDERZAHLUNGEN!$B$9:$B$128,C902,SONDERZAHLUNGEN!$C$9:$C$128,A902,SONDERZAHLUNGEN!$H$9:$H$128,"OK",SONDERZAHLUNGEN!$F$9:$F$128,"Ja")))</x:f>
      </x:c>
      <x:c r="H902" s="88" t="str">
        <x:f>IF(C902="","",MIN(MAX(0,D902+E902-F902-G902),MAX(0,IF(MONATSBUDGET!$C$52="",0,MONATSBUDGET!$C$52)-SUM(F900:F919)-SUM(H900:H901))))</x:f>
      </x:c>
      <x:c r="I902" s="88" t="str">
        <x:f>IF(C902="","",MAX(0,ROUND(D902+E902-F902-G902-H902,2)))</x:f>
      </x:c>
      <x:c r="J902" s="88" t="str">
        <x:f>IF(C902="","",F902+G902+H902)</x:f>
      </x:c>
      <x:c r="K902" s="88" t="str">
        <x:f>IF(C902="","",MAX(0,SUMIFS(SONDERZAHLUNGEN!$E$9:$E$128,SONDERZAHLUNGEN!$B$9:$B$128,C902,SONDERZAHLUNGEN!$C$9:$C$128,A902,SONDERZAHLUNGEN!$H$9:$H$128,"OK",SONDERZAHLUNGEN!$F$9:$F$128,"Ja")-G902))</x:f>
      </x:c>
    </x:row>
    <x:row r="903" ht="19" customHeight="1">
      <x:c r="A903" s="90" t="n">
        <x:f>MONATSBUDGET!$A$52</x:f>
        <x:v>47574</x:v>
      </x:c>
      <x:c r="B903" t="n">
        <x:f>4</x:f>
        <x:v>4</x:v>
      </x:c>
      <x:c r="C903" t="str">
        <x:f>IF($N$12="","",$N$12)</x:f>
      </x:c>
      <x:c r="D903" s="88" t="str">
        <x:f>IF(C903="","",I883)</x:f>
      </x:c>
      <x:c r="E903" s="88" t="str">
        <x:f>IF(C903="","",ROUND(D903*$P$12/12,2))</x:f>
      </x:c>
      <x:c r="F903" s="88" t="str">
        <x:f>IF(C903="","",MIN(D903+E903,$Q$12))</x:f>
      </x:c>
      <x:c r="G903" s="88" t="str">
        <x:f>IF(C903="","",MIN(MAX(0,D903+E903-F903),SUMIFS(SONDERZAHLUNGEN!$E$9:$E$128,SONDERZAHLUNGEN!$B$9:$B$128,C903,SONDERZAHLUNGEN!$C$9:$C$128,A903,SONDERZAHLUNGEN!$H$9:$H$128,"OK",SONDERZAHLUNGEN!$F$9:$F$128,"Ja")))</x:f>
      </x:c>
      <x:c r="H903" s="88" t="str">
        <x:f>IF(C903="","",MIN(MAX(0,D903+E903-F903-G903),MAX(0,IF(MONATSBUDGET!$C$52="",0,MONATSBUDGET!$C$52)-SUM(F900:F919)-SUM(H900:H902))))</x:f>
      </x:c>
      <x:c r="I903" s="88" t="str">
        <x:f>IF(C903="","",MAX(0,ROUND(D903+E903-F903-G903-H903,2)))</x:f>
      </x:c>
      <x:c r="J903" s="88" t="str">
        <x:f>IF(C903="","",F903+G903+H903)</x:f>
      </x:c>
      <x:c r="K903" s="88" t="str">
        <x:f>IF(C903="","",MAX(0,SUMIFS(SONDERZAHLUNGEN!$E$9:$E$128,SONDERZAHLUNGEN!$B$9:$B$128,C903,SONDERZAHLUNGEN!$C$9:$C$128,A903,SONDERZAHLUNGEN!$H$9:$H$128,"OK",SONDERZAHLUNGEN!$F$9:$F$128,"Ja")-G903))</x:f>
      </x:c>
    </x:row>
    <x:row r="904" ht="19" customHeight="1">
      <x:c r="A904" s="90" t="n">
        <x:f>MONATSBUDGET!$A$52</x:f>
        <x:v>47574</x:v>
      </x:c>
      <x:c r="B904" t="n">
        <x:f>5</x:f>
        <x:v>5</x:v>
      </x:c>
      <x:c r="C904" t="str">
        <x:f>IF($N$13="","",$N$13)</x:f>
      </x:c>
      <x:c r="D904" s="88" t="str">
        <x:f>IF(C904="","",I884)</x:f>
      </x:c>
      <x:c r="E904" s="88" t="str">
        <x:f>IF(C904="","",ROUND(D904*$P$13/12,2))</x:f>
      </x:c>
      <x:c r="F904" s="88" t="str">
        <x:f>IF(C904="","",MIN(D904+E904,$Q$13))</x:f>
      </x:c>
      <x:c r="G904" s="88" t="str">
        <x:f>IF(C904="","",MIN(MAX(0,D904+E904-F904),SUMIFS(SONDERZAHLUNGEN!$E$9:$E$128,SONDERZAHLUNGEN!$B$9:$B$128,C904,SONDERZAHLUNGEN!$C$9:$C$128,A904,SONDERZAHLUNGEN!$H$9:$H$128,"OK",SONDERZAHLUNGEN!$F$9:$F$128,"Ja")))</x:f>
      </x:c>
      <x:c r="H904" s="88" t="str">
        <x:f>IF(C904="","",MIN(MAX(0,D904+E904-F904-G904),MAX(0,IF(MONATSBUDGET!$C$52="",0,MONATSBUDGET!$C$52)-SUM(F900:F919)-SUM(H900:H903))))</x:f>
      </x:c>
      <x:c r="I904" s="88" t="str">
        <x:f>IF(C904="","",MAX(0,ROUND(D904+E904-F904-G904-H904,2)))</x:f>
      </x:c>
      <x:c r="J904" s="88" t="str">
        <x:f>IF(C904="","",F904+G904+H904)</x:f>
      </x:c>
      <x:c r="K904" s="88" t="str">
        <x:f>IF(C904="","",MAX(0,SUMIFS(SONDERZAHLUNGEN!$E$9:$E$128,SONDERZAHLUNGEN!$B$9:$B$128,C904,SONDERZAHLUNGEN!$C$9:$C$128,A904,SONDERZAHLUNGEN!$H$9:$H$128,"OK",SONDERZAHLUNGEN!$F$9:$F$128,"Ja")-G904))</x:f>
      </x:c>
    </x:row>
    <x:row r="905" ht="19" customHeight="1">
      <x:c r="A905" s="90" t="n">
        <x:f>MONATSBUDGET!$A$52</x:f>
        <x:v>47574</x:v>
      </x:c>
      <x:c r="B905" t="n">
        <x:f>6</x:f>
        <x:v>6</x:v>
      </x:c>
      <x:c r="C905" t="str">
        <x:f>IF($N$14="","",$N$14)</x:f>
      </x:c>
      <x:c r="D905" s="88" t="str">
        <x:f>IF(C905="","",I885)</x:f>
      </x:c>
      <x:c r="E905" s="88" t="str">
        <x:f>IF(C905="","",ROUND(D905*$P$14/12,2))</x:f>
      </x:c>
      <x:c r="F905" s="88" t="str">
        <x:f>IF(C905="","",MIN(D905+E905,$Q$14))</x:f>
      </x:c>
      <x:c r="G905" s="88" t="str">
        <x:f>IF(C905="","",MIN(MAX(0,D905+E905-F905),SUMIFS(SONDERZAHLUNGEN!$E$9:$E$128,SONDERZAHLUNGEN!$B$9:$B$128,C905,SONDERZAHLUNGEN!$C$9:$C$128,A905,SONDERZAHLUNGEN!$H$9:$H$128,"OK",SONDERZAHLUNGEN!$F$9:$F$128,"Ja")))</x:f>
      </x:c>
      <x:c r="H905" s="88" t="str">
        <x:f>IF(C905="","",MIN(MAX(0,D905+E905-F905-G905),MAX(0,IF(MONATSBUDGET!$C$52="",0,MONATSBUDGET!$C$52)-SUM(F900:F919)-SUM(H900:H904))))</x:f>
      </x:c>
      <x:c r="I905" s="88" t="str">
        <x:f>IF(C905="","",MAX(0,ROUND(D905+E905-F905-G905-H905,2)))</x:f>
      </x:c>
      <x:c r="J905" s="88" t="str">
        <x:f>IF(C905="","",F905+G905+H905)</x:f>
      </x:c>
      <x:c r="K905" s="88" t="str">
        <x:f>IF(C905="","",MAX(0,SUMIFS(SONDERZAHLUNGEN!$E$9:$E$128,SONDERZAHLUNGEN!$B$9:$B$128,C905,SONDERZAHLUNGEN!$C$9:$C$128,A905,SONDERZAHLUNGEN!$H$9:$H$128,"OK",SONDERZAHLUNGEN!$F$9:$F$128,"Ja")-G905))</x:f>
      </x:c>
    </x:row>
    <x:row r="906" ht="19" customHeight="1">
      <x:c r="A906" s="90" t="n">
        <x:f>MONATSBUDGET!$A$52</x:f>
        <x:v>47574</x:v>
      </x:c>
      <x:c r="B906" t="n">
        <x:f>7</x:f>
        <x:v>7</x:v>
      </x:c>
      <x:c r="C906" t="str">
        <x:f>IF($N$15="","",$N$15)</x:f>
      </x:c>
      <x:c r="D906" s="88" t="str">
        <x:f>IF(C906="","",I886)</x:f>
      </x:c>
      <x:c r="E906" s="88" t="str">
        <x:f>IF(C906="","",ROUND(D906*$P$15/12,2))</x:f>
      </x:c>
      <x:c r="F906" s="88" t="str">
        <x:f>IF(C906="","",MIN(D906+E906,$Q$15))</x:f>
      </x:c>
      <x:c r="G906" s="88" t="str">
        <x:f>IF(C906="","",MIN(MAX(0,D906+E906-F906),SUMIFS(SONDERZAHLUNGEN!$E$9:$E$128,SONDERZAHLUNGEN!$B$9:$B$128,C906,SONDERZAHLUNGEN!$C$9:$C$128,A906,SONDERZAHLUNGEN!$H$9:$H$128,"OK",SONDERZAHLUNGEN!$F$9:$F$128,"Ja")))</x:f>
      </x:c>
      <x:c r="H906" s="88" t="str">
        <x:f>IF(C906="","",MIN(MAX(0,D906+E906-F906-G906),MAX(0,IF(MONATSBUDGET!$C$52="",0,MONATSBUDGET!$C$52)-SUM(F900:F919)-SUM(H900:H905))))</x:f>
      </x:c>
      <x:c r="I906" s="88" t="str">
        <x:f>IF(C906="","",MAX(0,ROUND(D906+E906-F906-G906-H906,2)))</x:f>
      </x:c>
      <x:c r="J906" s="88" t="str">
        <x:f>IF(C906="","",F906+G906+H906)</x:f>
      </x:c>
      <x:c r="K906" s="88" t="str">
        <x:f>IF(C906="","",MAX(0,SUMIFS(SONDERZAHLUNGEN!$E$9:$E$128,SONDERZAHLUNGEN!$B$9:$B$128,C906,SONDERZAHLUNGEN!$C$9:$C$128,A906,SONDERZAHLUNGEN!$H$9:$H$128,"OK",SONDERZAHLUNGEN!$F$9:$F$128,"Ja")-G906))</x:f>
      </x:c>
    </x:row>
    <x:row r="907" ht="19" customHeight="1">
      <x:c r="A907" s="90" t="n">
        <x:f>MONATSBUDGET!$A$52</x:f>
        <x:v>47574</x:v>
      </x:c>
      <x:c r="B907" t="n">
        <x:f>8</x:f>
        <x:v>8</x:v>
      </x:c>
      <x:c r="C907" t="str">
        <x:f>IF($N$16="","",$N$16)</x:f>
      </x:c>
      <x:c r="D907" s="88" t="str">
        <x:f>IF(C907="","",I887)</x:f>
      </x:c>
      <x:c r="E907" s="88" t="str">
        <x:f>IF(C907="","",ROUND(D907*$P$16/12,2))</x:f>
      </x:c>
      <x:c r="F907" s="88" t="str">
        <x:f>IF(C907="","",MIN(D907+E907,$Q$16))</x:f>
      </x:c>
      <x:c r="G907" s="88" t="str">
        <x:f>IF(C907="","",MIN(MAX(0,D907+E907-F907),SUMIFS(SONDERZAHLUNGEN!$E$9:$E$128,SONDERZAHLUNGEN!$B$9:$B$128,C907,SONDERZAHLUNGEN!$C$9:$C$128,A907,SONDERZAHLUNGEN!$H$9:$H$128,"OK",SONDERZAHLUNGEN!$F$9:$F$128,"Ja")))</x:f>
      </x:c>
      <x:c r="H907" s="88" t="str">
        <x:f>IF(C907="","",MIN(MAX(0,D907+E907-F907-G907),MAX(0,IF(MONATSBUDGET!$C$52="",0,MONATSBUDGET!$C$52)-SUM(F900:F919)-SUM(H900:H906))))</x:f>
      </x:c>
      <x:c r="I907" s="88" t="str">
        <x:f>IF(C907="","",MAX(0,ROUND(D907+E907-F907-G907-H907,2)))</x:f>
      </x:c>
      <x:c r="J907" s="88" t="str">
        <x:f>IF(C907="","",F907+G907+H907)</x:f>
      </x:c>
      <x:c r="K907" s="88" t="str">
        <x:f>IF(C907="","",MAX(0,SUMIFS(SONDERZAHLUNGEN!$E$9:$E$128,SONDERZAHLUNGEN!$B$9:$B$128,C907,SONDERZAHLUNGEN!$C$9:$C$128,A907,SONDERZAHLUNGEN!$H$9:$H$128,"OK",SONDERZAHLUNGEN!$F$9:$F$128,"Ja")-G907))</x:f>
      </x:c>
    </x:row>
    <x:row r="908" ht="19" customHeight="1">
      <x:c r="A908" s="90" t="n">
        <x:f>MONATSBUDGET!$A$52</x:f>
        <x:v>47574</x:v>
      </x:c>
      <x:c r="B908" t="n">
        <x:f>9</x:f>
        <x:v>9</x:v>
      </x:c>
      <x:c r="C908" t="str">
        <x:f>IF($N$17="","",$N$17)</x:f>
      </x:c>
      <x:c r="D908" s="88" t="str">
        <x:f>IF(C908="","",I888)</x:f>
      </x:c>
      <x:c r="E908" s="88" t="str">
        <x:f>IF(C908="","",ROUND(D908*$P$17/12,2))</x:f>
      </x:c>
      <x:c r="F908" s="88" t="str">
        <x:f>IF(C908="","",MIN(D908+E908,$Q$17))</x:f>
      </x:c>
      <x:c r="G908" s="88" t="str">
        <x:f>IF(C908="","",MIN(MAX(0,D908+E908-F908),SUMIFS(SONDERZAHLUNGEN!$E$9:$E$128,SONDERZAHLUNGEN!$B$9:$B$128,C908,SONDERZAHLUNGEN!$C$9:$C$128,A908,SONDERZAHLUNGEN!$H$9:$H$128,"OK",SONDERZAHLUNGEN!$F$9:$F$128,"Ja")))</x:f>
      </x:c>
      <x:c r="H908" s="88" t="str">
        <x:f>IF(C908="","",MIN(MAX(0,D908+E908-F908-G908),MAX(0,IF(MONATSBUDGET!$C$52="",0,MONATSBUDGET!$C$52)-SUM(F900:F919)-SUM(H900:H907))))</x:f>
      </x:c>
      <x:c r="I908" s="88" t="str">
        <x:f>IF(C908="","",MAX(0,ROUND(D908+E908-F908-G908-H908,2)))</x:f>
      </x:c>
      <x:c r="J908" s="88" t="str">
        <x:f>IF(C908="","",F908+G908+H908)</x:f>
      </x:c>
      <x:c r="K908" s="88" t="str">
        <x:f>IF(C908="","",MAX(0,SUMIFS(SONDERZAHLUNGEN!$E$9:$E$128,SONDERZAHLUNGEN!$B$9:$B$128,C908,SONDERZAHLUNGEN!$C$9:$C$128,A908,SONDERZAHLUNGEN!$H$9:$H$128,"OK",SONDERZAHLUNGEN!$F$9:$F$128,"Ja")-G908))</x:f>
      </x:c>
    </x:row>
    <x:row r="909" ht="19" customHeight="1">
      <x:c r="A909" s="90" t="n">
        <x:f>MONATSBUDGET!$A$52</x:f>
        <x:v>47574</x:v>
      </x:c>
      <x:c r="B909" t="n">
        <x:f>10</x:f>
        <x:v>10</x:v>
      </x:c>
      <x:c r="C909" t="str">
        <x:f>IF($N$18="","",$N$18)</x:f>
      </x:c>
      <x:c r="D909" s="88" t="str">
        <x:f>IF(C909="","",I889)</x:f>
      </x:c>
      <x:c r="E909" s="88" t="str">
        <x:f>IF(C909="","",ROUND(D909*$P$18/12,2))</x:f>
      </x:c>
      <x:c r="F909" s="88" t="str">
        <x:f>IF(C909="","",MIN(D909+E909,$Q$18))</x:f>
      </x:c>
      <x:c r="G909" s="88" t="str">
        <x:f>IF(C909="","",MIN(MAX(0,D909+E909-F909),SUMIFS(SONDERZAHLUNGEN!$E$9:$E$128,SONDERZAHLUNGEN!$B$9:$B$128,C909,SONDERZAHLUNGEN!$C$9:$C$128,A909,SONDERZAHLUNGEN!$H$9:$H$128,"OK",SONDERZAHLUNGEN!$F$9:$F$128,"Ja")))</x:f>
      </x:c>
      <x:c r="H909" s="88" t="str">
        <x:f>IF(C909="","",MIN(MAX(0,D909+E909-F909-G909),MAX(0,IF(MONATSBUDGET!$C$52="",0,MONATSBUDGET!$C$52)-SUM(F900:F919)-SUM(H900:H908))))</x:f>
      </x:c>
      <x:c r="I909" s="88" t="str">
        <x:f>IF(C909="","",MAX(0,ROUND(D909+E909-F909-G909-H909,2)))</x:f>
      </x:c>
      <x:c r="J909" s="88" t="str">
        <x:f>IF(C909="","",F909+G909+H909)</x:f>
      </x:c>
      <x:c r="K909" s="88" t="str">
        <x:f>IF(C909="","",MAX(0,SUMIFS(SONDERZAHLUNGEN!$E$9:$E$128,SONDERZAHLUNGEN!$B$9:$B$128,C909,SONDERZAHLUNGEN!$C$9:$C$128,A909,SONDERZAHLUNGEN!$H$9:$H$128,"OK",SONDERZAHLUNGEN!$F$9:$F$128,"Ja")-G909))</x:f>
      </x:c>
    </x:row>
    <x:row r="910" ht="19" customHeight="1">
      <x:c r="A910" s="90" t="n">
        <x:f>MONATSBUDGET!$A$52</x:f>
        <x:v>47574</x:v>
      </x:c>
      <x:c r="B910" t="n">
        <x:f>11</x:f>
        <x:v>11</x:v>
      </x:c>
      <x:c r="C910" t="str">
        <x:f>IF($N$19="","",$N$19)</x:f>
      </x:c>
      <x:c r="D910" s="88" t="str">
        <x:f>IF(C910="","",I890)</x:f>
      </x:c>
      <x:c r="E910" s="88" t="str">
        <x:f>IF(C910="","",ROUND(D910*$P$19/12,2))</x:f>
      </x:c>
      <x:c r="F910" s="88" t="str">
        <x:f>IF(C910="","",MIN(D910+E910,$Q$19))</x:f>
      </x:c>
      <x:c r="G910" s="88" t="str">
        <x:f>IF(C910="","",MIN(MAX(0,D910+E910-F910),SUMIFS(SONDERZAHLUNGEN!$E$9:$E$128,SONDERZAHLUNGEN!$B$9:$B$128,C910,SONDERZAHLUNGEN!$C$9:$C$128,A910,SONDERZAHLUNGEN!$H$9:$H$128,"OK",SONDERZAHLUNGEN!$F$9:$F$128,"Ja")))</x:f>
      </x:c>
      <x:c r="H910" s="88" t="str">
        <x:f>IF(C910="","",MIN(MAX(0,D910+E910-F910-G910),MAX(0,IF(MONATSBUDGET!$C$52="",0,MONATSBUDGET!$C$52)-SUM(F900:F919)-SUM(H900:H909))))</x:f>
      </x:c>
      <x:c r="I910" s="88" t="str">
        <x:f>IF(C910="","",MAX(0,ROUND(D910+E910-F910-G910-H910,2)))</x:f>
      </x:c>
      <x:c r="J910" s="88" t="str">
        <x:f>IF(C910="","",F910+G910+H910)</x:f>
      </x:c>
      <x:c r="K910" s="88" t="str">
        <x:f>IF(C910="","",MAX(0,SUMIFS(SONDERZAHLUNGEN!$E$9:$E$128,SONDERZAHLUNGEN!$B$9:$B$128,C910,SONDERZAHLUNGEN!$C$9:$C$128,A910,SONDERZAHLUNGEN!$H$9:$H$128,"OK",SONDERZAHLUNGEN!$F$9:$F$128,"Ja")-G910))</x:f>
      </x:c>
    </x:row>
    <x:row r="911" ht="19" customHeight="1">
      <x:c r="A911" s="90" t="n">
        <x:f>MONATSBUDGET!$A$52</x:f>
        <x:v>47574</x:v>
      </x:c>
      <x:c r="B911" t="n">
        <x:f>12</x:f>
        <x:v>12</x:v>
      </x:c>
      <x:c r="C911" t="str">
        <x:f>IF($N$20="","",$N$20)</x:f>
      </x:c>
      <x:c r="D911" s="88" t="str">
        <x:f>IF(C911="","",I891)</x:f>
      </x:c>
      <x:c r="E911" s="88" t="str">
        <x:f>IF(C911="","",ROUND(D911*$P$20/12,2))</x:f>
      </x:c>
      <x:c r="F911" s="88" t="str">
        <x:f>IF(C911="","",MIN(D911+E911,$Q$20))</x:f>
      </x:c>
      <x:c r="G911" s="88" t="str">
        <x:f>IF(C911="","",MIN(MAX(0,D911+E911-F911),SUMIFS(SONDERZAHLUNGEN!$E$9:$E$128,SONDERZAHLUNGEN!$B$9:$B$128,C911,SONDERZAHLUNGEN!$C$9:$C$128,A911,SONDERZAHLUNGEN!$H$9:$H$128,"OK",SONDERZAHLUNGEN!$F$9:$F$128,"Ja")))</x:f>
      </x:c>
      <x:c r="H911" s="88" t="str">
        <x:f>IF(C911="","",MIN(MAX(0,D911+E911-F911-G911),MAX(0,IF(MONATSBUDGET!$C$52="",0,MONATSBUDGET!$C$52)-SUM(F900:F919)-SUM(H900:H910))))</x:f>
      </x:c>
      <x:c r="I911" s="88" t="str">
        <x:f>IF(C911="","",MAX(0,ROUND(D911+E911-F911-G911-H911,2)))</x:f>
      </x:c>
      <x:c r="J911" s="88" t="str">
        <x:f>IF(C911="","",F911+G911+H911)</x:f>
      </x:c>
      <x:c r="K911" s="88" t="str">
        <x:f>IF(C911="","",MAX(0,SUMIFS(SONDERZAHLUNGEN!$E$9:$E$128,SONDERZAHLUNGEN!$B$9:$B$128,C911,SONDERZAHLUNGEN!$C$9:$C$128,A911,SONDERZAHLUNGEN!$H$9:$H$128,"OK",SONDERZAHLUNGEN!$F$9:$F$128,"Ja")-G911))</x:f>
      </x:c>
    </x:row>
    <x:row r="912" ht="19" customHeight="1">
      <x:c r="A912" s="90" t="n">
        <x:f>MONATSBUDGET!$A$52</x:f>
        <x:v>47574</x:v>
      </x:c>
      <x:c r="B912" t="n">
        <x:f>13</x:f>
        <x:v>13</x:v>
      </x:c>
      <x:c r="C912" t="str">
        <x:f>IF($N$21="","",$N$21)</x:f>
      </x:c>
      <x:c r="D912" s="88" t="str">
        <x:f>IF(C912="","",I892)</x:f>
      </x:c>
      <x:c r="E912" s="88" t="str">
        <x:f>IF(C912="","",ROUND(D912*$P$21/12,2))</x:f>
      </x:c>
      <x:c r="F912" s="88" t="str">
        <x:f>IF(C912="","",MIN(D912+E912,$Q$21))</x:f>
      </x:c>
      <x:c r="G912" s="88" t="str">
        <x:f>IF(C912="","",MIN(MAX(0,D912+E912-F912),SUMIFS(SONDERZAHLUNGEN!$E$9:$E$128,SONDERZAHLUNGEN!$B$9:$B$128,C912,SONDERZAHLUNGEN!$C$9:$C$128,A912,SONDERZAHLUNGEN!$H$9:$H$128,"OK",SONDERZAHLUNGEN!$F$9:$F$128,"Ja")))</x:f>
      </x:c>
      <x:c r="H912" s="88" t="str">
        <x:f>IF(C912="","",MIN(MAX(0,D912+E912-F912-G912),MAX(0,IF(MONATSBUDGET!$C$52="",0,MONATSBUDGET!$C$52)-SUM(F900:F919)-SUM(H900:H911))))</x:f>
      </x:c>
      <x:c r="I912" s="88" t="str">
        <x:f>IF(C912="","",MAX(0,ROUND(D912+E912-F912-G912-H912,2)))</x:f>
      </x:c>
      <x:c r="J912" s="88" t="str">
        <x:f>IF(C912="","",F912+G912+H912)</x:f>
      </x:c>
      <x:c r="K912" s="88" t="str">
        <x:f>IF(C912="","",MAX(0,SUMIFS(SONDERZAHLUNGEN!$E$9:$E$128,SONDERZAHLUNGEN!$B$9:$B$128,C912,SONDERZAHLUNGEN!$C$9:$C$128,A912,SONDERZAHLUNGEN!$H$9:$H$128,"OK",SONDERZAHLUNGEN!$F$9:$F$128,"Ja")-G912))</x:f>
      </x:c>
    </x:row>
    <x:row r="913" ht="19" customHeight="1">
      <x:c r="A913" s="90" t="n">
        <x:f>MONATSBUDGET!$A$52</x:f>
        <x:v>47574</x:v>
      </x:c>
      <x:c r="B913" t="n">
        <x:f>14</x:f>
        <x:v>14</x:v>
      </x:c>
      <x:c r="C913" t="str">
        <x:f>IF($N$22="","",$N$22)</x:f>
      </x:c>
      <x:c r="D913" s="88" t="str">
        <x:f>IF(C913="","",I893)</x:f>
      </x:c>
      <x:c r="E913" s="88" t="str">
        <x:f>IF(C913="","",ROUND(D913*$P$22/12,2))</x:f>
      </x:c>
      <x:c r="F913" s="88" t="str">
        <x:f>IF(C913="","",MIN(D913+E913,$Q$22))</x:f>
      </x:c>
      <x:c r="G913" s="88" t="str">
        <x:f>IF(C913="","",MIN(MAX(0,D913+E913-F913),SUMIFS(SONDERZAHLUNGEN!$E$9:$E$128,SONDERZAHLUNGEN!$B$9:$B$128,C913,SONDERZAHLUNGEN!$C$9:$C$128,A913,SONDERZAHLUNGEN!$H$9:$H$128,"OK",SONDERZAHLUNGEN!$F$9:$F$128,"Ja")))</x:f>
      </x:c>
      <x:c r="H913" s="88" t="str">
        <x:f>IF(C913="","",MIN(MAX(0,D913+E913-F913-G913),MAX(0,IF(MONATSBUDGET!$C$52="",0,MONATSBUDGET!$C$52)-SUM(F900:F919)-SUM(H900:H912))))</x:f>
      </x:c>
      <x:c r="I913" s="88" t="str">
        <x:f>IF(C913="","",MAX(0,ROUND(D913+E913-F913-G913-H913,2)))</x:f>
      </x:c>
      <x:c r="J913" s="88" t="str">
        <x:f>IF(C913="","",F913+G913+H913)</x:f>
      </x:c>
      <x:c r="K913" s="88" t="str">
        <x:f>IF(C913="","",MAX(0,SUMIFS(SONDERZAHLUNGEN!$E$9:$E$128,SONDERZAHLUNGEN!$B$9:$B$128,C913,SONDERZAHLUNGEN!$C$9:$C$128,A913,SONDERZAHLUNGEN!$H$9:$H$128,"OK",SONDERZAHLUNGEN!$F$9:$F$128,"Ja")-G913))</x:f>
      </x:c>
    </x:row>
    <x:row r="914" ht="19" customHeight="1">
      <x:c r="A914" s="90" t="n">
        <x:f>MONATSBUDGET!$A$52</x:f>
        <x:v>47574</x:v>
      </x:c>
      <x:c r="B914" t="n">
        <x:f>15</x:f>
        <x:v>15</x:v>
      </x:c>
      <x:c r="C914" t="str">
        <x:f>IF($N$23="","",$N$23)</x:f>
      </x:c>
      <x:c r="D914" s="88" t="str">
        <x:f>IF(C914="","",I894)</x:f>
      </x:c>
      <x:c r="E914" s="88" t="str">
        <x:f>IF(C914="","",ROUND(D914*$P$23/12,2))</x:f>
      </x:c>
      <x:c r="F914" s="88" t="str">
        <x:f>IF(C914="","",MIN(D914+E914,$Q$23))</x:f>
      </x:c>
      <x:c r="G914" s="88" t="str">
        <x:f>IF(C914="","",MIN(MAX(0,D914+E914-F914),SUMIFS(SONDERZAHLUNGEN!$E$9:$E$128,SONDERZAHLUNGEN!$B$9:$B$128,C914,SONDERZAHLUNGEN!$C$9:$C$128,A914,SONDERZAHLUNGEN!$H$9:$H$128,"OK",SONDERZAHLUNGEN!$F$9:$F$128,"Ja")))</x:f>
      </x:c>
      <x:c r="H914" s="88" t="str">
        <x:f>IF(C914="","",MIN(MAX(0,D914+E914-F914-G914),MAX(0,IF(MONATSBUDGET!$C$52="",0,MONATSBUDGET!$C$52)-SUM(F900:F919)-SUM(H900:H913))))</x:f>
      </x:c>
      <x:c r="I914" s="88" t="str">
        <x:f>IF(C914="","",MAX(0,ROUND(D914+E914-F914-G914-H914,2)))</x:f>
      </x:c>
      <x:c r="J914" s="88" t="str">
        <x:f>IF(C914="","",F914+G914+H914)</x:f>
      </x:c>
      <x:c r="K914" s="88" t="str">
        <x:f>IF(C914="","",MAX(0,SUMIFS(SONDERZAHLUNGEN!$E$9:$E$128,SONDERZAHLUNGEN!$B$9:$B$128,C914,SONDERZAHLUNGEN!$C$9:$C$128,A914,SONDERZAHLUNGEN!$H$9:$H$128,"OK",SONDERZAHLUNGEN!$F$9:$F$128,"Ja")-G914))</x:f>
      </x:c>
    </x:row>
    <x:row r="915" ht="19" customHeight="1">
      <x:c r="A915" s="90" t="n">
        <x:f>MONATSBUDGET!$A$52</x:f>
        <x:v>47574</x:v>
      </x:c>
      <x:c r="B915" t="n">
        <x:f>16</x:f>
        <x:v>16</x:v>
      </x:c>
      <x:c r="C915" t="str">
        <x:f>IF($N$24="","",$N$24)</x:f>
      </x:c>
      <x:c r="D915" s="88" t="str">
        <x:f>IF(C915="","",I895)</x:f>
      </x:c>
      <x:c r="E915" s="88" t="str">
        <x:f>IF(C915="","",ROUND(D915*$P$24/12,2))</x:f>
      </x:c>
      <x:c r="F915" s="88" t="str">
        <x:f>IF(C915="","",MIN(D915+E915,$Q$24))</x:f>
      </x:c>
      <x:c r="G915" s="88" t="str">
        <x:f>IF(C915="","",MIN(MAX(0,D915+E915-F915),SUMIFS(SONDERZAHLUNGEN!$E$9:$E$128,SONDERZAHLUNGEN!$B$9:$B$128,C915,SONDERZAHLUNGEN!$C$9:$C$128,A915,SONDERZAHLUNGEN!$H$9:$H$128,"OK",SONDERZAHLUNGEN!$F$9:$F$128,"Ja")))</x:f>
      </x:c>
      <x:c r="H915" s="88" t="str">
        <x:f>IF(C915="","",MIN(MAX(0,D915+E915-F915-G915),MAX(0,IF(MONATSBUDGET!$C$52="",0,MONATSBUDGET!$C$52)-SUM(F900:F919)-SUM(H900:H914))))</x:f>
      </x:c>
      <x:c r="I915" s="88" t="str">
        <x:f>IF(C915="","",MAX(0,ROUND(D915+E915-F915-G915-H915,2)))</x:f>
      </x:c>
      <x:c r="J915" s="88" t="str">
        <x:f>IF(C915="","",F915+G915+H915)</x:f>
      </x:c>
      <x:c r="K915" s="88" t="str">
        <x:f>IF(C915="","",MAX(0,SUMIFS(SONDERZAHLUNGEN!$E$9:$E$128,SONDERZAHLUNGEN!$B$9:$B$128,C915,SONDERZAHLUNGEN!$C$9:$C$128,A915,SONDERZAHLUNGEN!$H$9:$H$128,"OK",SONDERZAHLUNGEN!$F$9:$F$128,"Ja")-G915))</x:f>
      </x:c>
    </x:row>
    <x:row r="916" ht="19" customHeight="1">
      <x:c r="A916" s="90" t="n">
        <x:f>MONATSBUDGET!$A$52</x:f>
        <x:v>47574</x:v>
      </x:c>
      <x:c r="B916" t="n">
        <x:f>17</x:f>
        <x:v>17</x:v>
      </x:c>
      <x:c r="C916" t="str">
        <x:f>IF($N$25="","",$N$25)</x:f>
      </x:c>
      <x:c r="D916" s="88" t="str">
        <x:f>IF(C916="","",I896)</x:f>
      </x:c>
      <x:c r="E916" s="88" t="str">
        <x:f>IF(C916="","",ROUND(D916*$P$25/12,2))</x:f>
      </x:c>
      <x:c r="F916" s="88" t="str">
        <x:f>IF(C916="","",MIN(D916+E916,$Q$25))</x:f>
      </x:c>
      <x:c r="G916" s="88" t="str">
        <x:f>IF(C916="","",MIN(MAX(0,D916+E916-F916),SUMIFS(SONDERZAHLUNGEN!$E$9:$E$128,SONDERZAHLUNGEN!$B$9:$B$128,C916,SONDERZAHLUNGEN!$C$9:$C$128,A916,SONDERZAHLUNGEN!$H$9:$H$128,"OK",SONDERZAHLUNGEN!$F$9:$F$128,"Ja")))</x:f>
      </x:c>
      <x:c r="H916" s="88" t="str">
        <x:f>IF(C916="","",MIN(MAX(0,D916+E916-F916-G916),MAX(0,IF(MONATSBUDGET!$C$52="",0,MONATSBUDGET!$C$52)-SUM(F900:F919)-SUM(H900:H915))))</x:f>
      </x:c>
      <x:c r="I916" s="88" t="str">
        <x:f>IF(C916="","",MAX(0,ROUND(D916+E916-F916-G916-H916,2)))</x:f>
      </x:c>
      <x:c r="J916" s="88" t="str">
        <x:f>IF(C916="","",F916+G916+H916)</x:f>
      </x:c>
      <x:c r="K916" s="88" t="str">
        <x:f>IF(C916="","",MAX(0,SUMIFS(SONDERZAHLUNGEN!$E$9:$E$128,SONDERZAHLUNGEN!$B$9:$B$128,C916,SONDERZAHLUNGEN!$C$9:$C$128,A916,SONDERZAHLUNGEN!$H$9:$H$128,"OK",SONDERZAHLUNGEN!$F$9:$F$128,"Ja")-G916))</x:f>
      </x:c>
    </x:row>
    <x:row r="917" ht="19" customHeight="1">
      <x:c r="A917" s="90" t="n">
        <x:f>MONATSBUDGET!$A$52</x:f>
        <x:v>47574</x:v>
      </x:c>
      <x:c r="B917" t="n">
        <x:f>18</x:f>
        <x:v>18</x:v>
      </x:c>
      <x:c r="C917" t="str">
        <x:f>IF($N$26="","",$N$26)</x:f>
      </x:c>
      <x:c r="D917" s="88" t="str">
        <x:f>IF(C917="","",I897)</x:f>
      </x:c>
      <x:c r="E917" s="88" t="str">
        <x:f>IF(C917="","",ROUND(D917*$P$26/12,2))</x:f>
      </x:c>
      <x:c r="F917" s="88" t="str">
        <x:f>IF(C917="","",MIN(D917+E917,$Q$26))</x:f>
      </x:c>
      <x:c r="G917" s="88" t="str">
        <x:f>IF(C917="","",MIN(MAX(0,D917+E917-F917),SUMIFS(SONDERZAHLUNGEN!$E$9:$E$128,SONDERZAHLUNGEN!$B$9:$B$128,C917,SONDERZAHLUNGEN!$C$9:$C$128,A917,SONDERZAHLUNGEN!$H$9:$H$128,"OK",SONDERZAHLUNGEN!$F$9:$F$128,"Ja")))</x:f>
      </x:c>
      <x:c r="H917" s="88" t="str">
        <x:f>IF(C917="","",MIN(MAX(0,D917+E917-F917-G917),MAX(0,IF(MONATSBUDGET!$C$52="",0,MONATSBUDGET!$C$52)-SUM(F900:F919)-SUM(H900:H916))))</x:f>
      </x:c>
      <x:c r="I917" s="88" t="str">
        <x:f>IF(C917="","",MAX(0,ROUND(D917+E917-F917-G917-H917,2)))</x:f>
      </x:c>
      <x:c r="J917" s="88" t="str">
        <x:f>IF(C917="","",F917+G917+H917)</x:f>
      </x:c>
      <x:c r="K917" s="88" t="str">
        <x:f>IF(C917="","",MAX(0,SUMIFS(SONDERZAHLUNGEN!$E$9:$E$128,SONDERZAHLUNGEN!$B$9:$B$128,C917,SONDERZAHLUNGEN!$C$9:$C$128,A917,SONDERZAHLUNGEN!$H$9:$H$128,"OK",SONDERZAHLUNGEN!$F$9:$F$128,"Ja")-G917))</x:f>
      </x:c>
    </x:row>
    <x:row r="918" ht="19" customHeight="1">
      <x:c r="A918" s="90" t="n">
        <x:f>MONATSBUDGET!$A$52</x:f>
        <x:v>47574</x:v>
      </x:c>
      <x:c r="B918" t="n">
        <x:f>19</x:f>
        <x:v>19</x:v>
      </x:c>
      <x:c r="C918" t="str">
        <x:f>IF($N$27="","",$N$27)</x:f>
      </x:c>
      <x:c r="D918" s="88" t="str">
        <x:f>IF(C918="","",I898)</x:f>
      </x:c>
      <x:c r="E918" s="88" t="str">
        <x:f>IF(C918="","",ROUND(D918*$P$27/12,2))</x:f>
      </x:c>
      <x:c r="F918" s="88" t="str">
        <x:f>IF(C918="","",MIN(D918+E918,$Q$27))</x:f>
      </x:c>
      <x:c r="G918" s="88" t="str">
        <x:f>IF(C918="","",MIN(MAX(0,D918+E918-F918),SUMIFS(SONDERZAHLUNGEN!$E$9:$E$128,SONDERZAHLUNGEN!$B$9:$B$128,C918,SONDERZAHLUNGEN!$C$9:$C$128,A918,SONDERZAHLUNGEN!$H$9:$H$128,"OK",SONDERZAHLUNGEN!$F$9:$F$128,"Ja")))</x:f>
      </x:c>
      <x:c r="H918" s="88" t="str">
        <x:f>IF(C918="","",MIN(MAX(0,D918+E918-F918-G918),MAX(0,IF(MONATSBUDGET!$C$52="",0,MONATSBUDGET!$C$52)-SUM(F900:F919)-SUM(H900:H917))))</x:f>
      </x:c>
      <x:c r="I918" s="88" t="str">
        <x:f>IF(C918="","",MAX(0,ROUND(D918+E918-F918-G918-H918,2)))</x:f>
      </x:c>
      <x:c r="J918" s="88" t="str">
        <x:f>IF(C918="","",F918+G918+H918)</x:f>
      </x:c>
      <x:c r="K918" s="88" t="str">
        <x:f>IF(C918="","",MAX(0,SUMIFS(SONDERZAHLUNGEN!$E$9:$E$128,SONDERZAHLUNGEN!$B$9:$B$128,C918,SONDERZAHLUNGEN!$C$9:$C$128,A918,SONDERZAHLUNGEN!$H$9:$H$128,"OK",SONDERZAHLUNGEN!$F$9:$F$128,"Ja")-G918))</x:f>
      </x:c>
    </x:row>
    <x:row r="919" ht="19" customHeight="1">
      <x:c r="A919" s="90" t="n">
        <x:f>MONATSBUDGET!$A$52</x:f>
        <x:v>47574</x:v>
      </x:c>
      <x:c r="B919" t="n">
        <x:f>20</x:f>
        <x:v>20</x:v>
      </x:c>
      <x:c r="C919" t="str">
        <x:f>IF($N$28="","",$N$28)</x:f>
      </x:c>
      <x:c r="D919" s="88" t="str">
        <x:f>IF(C919="","",I899)</x:f>
      </x:c>
      <x:c r="E919" s="88" t="str">
        <x:f>IF(C919="","",ROUND(D919*$P$28/12,2))</x:f>
      </x:c>
      <x:c r="F919" s="88" t="str">
        <x:f>IF(C919="","",MIN(D919+E919,$Q$28))</x:f>
      </x:c>
      <x:c r="G919" s="88" t="str">
        <x:f>IF(C919="","",MIN(MAX(0,D919+E919-F919),SUMIFS(SONDERZAHLUNGEN!$E$9:$E$128,SONDERZAHLUNGEN!$B$9:$B$128,C919,SONDERZAHLUNGEN!$C$9:$C$128,A919,SONDERZAHLUNGEN!$H$9:$H$128,"OK",SONDERZAHLUNGEN!$F$9:$F$128,"Ja")))</x:f>
      </x:c>
      <x:c r="H919" s="88" t="str">
        <x:f>IF(C919="","",MIN(MAX(0,D919+E919-F919-G919),MAX(0,IF(MONATSBUDGET!$C$52="",0,MONATSBUDGET!$C$52)-SUM(F900:F919)-SUM(H900:H918))))</x:f>
      </x:c>
      <x:c r="I919" s="88" t="str">
        <x:f>IF(C919="","",MAX(0,ROUND(D919+E919-F919-G919-H919,2)))</x:f>
      </x:c>
      <x:c r="J919" s="88" t="str">
        <x:f>IF(C919="","",F919+G919+H919)</x:f>
      </x:c>
      <x:c r="K919" s="88" t="str">
        <x:f>IF(C919="","",MAX(0,SUMIFS(SONDERZAHLUNGEN!$E$9:$E$128,SONDERZAHLUNGEN!$B$9:$B$128,C919,SONDERZAHLUNGEN!$C$9:$C$128,A919,SONDERZAHLUNGEN!$H$9:$H$128,"OK",SONDERZAHLUNGEN!$F$9:$F$128,"Ja")-G919))</x:f>
      </x:c>
    </x:row>
    <x:row r="920" ht="19" customHeight="1">
      <x:c r="A920" s="90" t="n">
        <x:f>MONATSBUDGET!$A$53</x:f>
        <x:v>47604</x:v>
      </x:c>
      <x:c r="B920" t="n">
        <x:f>1</x:f>
        <x:v>1</x:v>
      </x:c>
      <x:c r="C920" t="str">
        <x:f>IF($N$9="","",$N$9)</x:f>
      </x:c>
      <x:c r="D920" s="88" t="str">
        <x:f>IF(C920="","",I900)</x:f>
      </x:c>
      <x:c r="E920" s="88" t="str">
        <x:f>IF(C920="","",ROUND(D920*$P$9/12,2))</x:f>
      </x:c>
      <x:c r="F920" s="88" t="str">
        <x:f>IF(C920="","",MIN(D920+E920,$Q$9))</x:f>
      </x:c>
      <x:c r="G920" s="88" t="str">
        <x:f>IF(C920="","",MIN(MAX(0,D920+E920-F920),SUMIFS(SONDERZAHLUNGEN!$E$9:$E$128,SONDERZAHLUNGEN!$B$9:$B$128,C920,SONDERZAHLUNGEN!$C$9:$C$128,A920,SONDERZAHLUNGEN!$H$9:$H$128,"OK",SONDERZAHLUNGEN!$F$9:$F$128,"Ja")))</x:f>
      </x:c>
      <x:c r="H920" s="88" t="str">
        <x:f>IF(C920="","",MIN(MAX(0,D920+E920-F920-G920),MAX(0,IF(MONATSBUDGET!$C$53="",0,MONATSBUDGET!$C$53)-SUM(F920:F939)-0)))</x:f>
      </x:c>
      <x:c r="I920" s="88" t="str">
        <x:f>IF(C920="","",MAX(0,ROUND(D920+E920-F920-G920-H920,2)))</x:f>
      </x:c>
      <x:c r="J920" s="88" t="str">
        <x:f>IF(C920="","",F920+G920+H920)</x:f>
      </x:c>
      <x:c r="K920" s="88" t="str">
        <x:f>IF(C920="","",MAX(0,SUMIFS(SONDERZAHLUNGEN!$E$9:$E$128,SONDERZAHLUNGEN!$B$9:$B$128,C920,SONDERZAHLUNGEN!$C$9:$C$128,A920,SONDERZAHLUNGEN!$H$9:$H$128,"OK",SONDERZAHLUNGEN!$F$9:$F$128,"Ja")-G920))</x:f>
      </x:c>
    </x:row>
    <x:row r="921" ht="19" customHeight="1">
      <x:c r="A921" s="90" t="n">
        <x:f>MONATSBUDGET!$A$53</x:f>
        <x:v>47604</x:v>
      </x:c>
      <x:c r="B921" t="n">
        <x:f>2</x:f>
        <x:v>2</x:v>
      </x:c>
      <x:c r="C921" t="str">
        <x:f>IF($N$10="","",$N$10)</x:f>
      </x:c>
      <x:c r="D921" s="88" t="str">
        <x:f>IF(C921="","",I901)</x:f>
      </x:c>
      <x:c r="E921" s="88" t="str">
        <x:f>IF(C921="","",ROUND(D921*$P$10/12,2))</x:f>
      </x:c>
      <x:c r="F921" s="88" t="str">
        <x:f>IF(C921="","",MIN(D921+E921,$Q$10))</x:f>
      </x:c>
      <x:c r="G921" s="88" t="str">
        <x:f>IF(C921="","",MIN(MAX(0,D921+E921-F921),SUMIFS(SONDERZAHLUNGEN!$E$9:$E$128,SONDERZAHLUNGEN!$B$9:$B$128,C921,SONDERZAHLUNGEN!$C$9:$C$128,A921,SONDERZAHLUNGEN!$H$9:$H$128,"OK",SONDERZAHLUNGEN!$F$9:$F$128,"Ja")))</x:f>
      </x:c>
      <x:c r="H921" s="88" t="str">
        <x:f>IF(C921="","",MIN(MAX(0,D921+E921-F921-G921),MAX(0,IF(MONATSBUDGET!$C$53="",0,MONATSBUDGET!$C$53)-SUM(F920:F939)-SUM(H920:H920))))</x:f>
      </x:c>
      <x:c r="I921" s="88" t="str">
        <x:f>IF(C921="","",MAX(0,ROUND(D921+E921-F921-G921-H921,2)))</x:f>
      </x:c>
      <x:c r="J921" s="88" t="str">
        <x:f>IF(C921="","",F921+G921+H921)</x:f>
      </x:c>
      <x:c r="K921" s="88" t="str">
        <x:f>IF(C921="","",MAX(0,SUMIFS(SONDERZAHLUNGEN!$E$9:$E$128,SONDERZAHLUNGEN!$B$9:$B$128,C921,SONDERZAHLUNGEN!$C$9:$C$128,A921,SONDERZAHLUNGEN!$H$9:$H$128,"OK",SONDERZAHLUNGEN!$F$9:$F$128,"Ja")-G921))</x:f>
      </x:c>
    </x:row>
    <x:row r="922" ht="19" customHeight="1">
      <x:c r="A922" s="90" t="n">
        <x:f>MONATSBUDGET!$A$53</x:f>
        <x:v>47604</x:v>
      </x:c>
      <x:c r="B922" t="n">
        <x:f>3</x:f>
        <x:v>3</x:v>
      </x:c>
      <x:c r="C922" t="str">
        <x:f>IF($N$11="","",$N$11)</x:f>
      </x:c>
      <x:c r="D922" s="88" t="str">
        <x:f>IF(C922="","",I902)</x:f>
      </x:c>
      <x:c r="E922" s="88" t="str">
        <x:f>IF(C922="","",ROUND(D922*$P$11/12,2))</x:f>
      </x:c>
      <x:c r="F922" s="88" t="str">
        <x:f>IF(C922="","",MIN(D922+E922,$Q$11))</x:f>
      </x:c>
      <x:c r="G922" s="88" t="str">
        <x:f>IF(C922="","",MIN(MAX(0,D922+E922-F922),SUMIFS(SONDERZAHLUNGEN!$E$9:$E$128,SONDERZAHLUNGEN!$B$9:$B$128,C922,SONDERZAHLUNGEN!$C$9:$C$128,A922,SONDERZAHLUNGEN!$H$9:$H$128,"OK",SONDERZAHLUNGEN!$F$9:$F$128,"Ja")))</x:f>
      </x:c>
      <x:c r="H922" s="88" t="str">
        <x:f>IF(C922="","",MIN(MAX(0,D922+E922-F922-G922),MAX(0,IF(MONATSBUDGET!$C$53="",0,MONATSBUDGET!$C$53)-SUM(F920:F939)-SUM(H920:H921))))</x:f>
      </x:c>
      <x:c r="I922" s="88" t="str">
        <x:f>IF(C922="","",MAX(0,ROUND(D922+E922-F922-G922-H922,2)))</x:f>
      </x:c>
      <x:c r="J922" s="88" t="str">
        <x:f>IF(C922="","",F922+G922+H922)</x:f>
      </x:c>
      <x:c r="K922" s="88" t="str">
        <x:f>IF(C922="","",MAX(0,SUMIFS(SONDERZAHLUNGEN!$E$9:$E$128,SONDERZAHLUNGEN!$B$9:$B$128,C922,SONDERZAHLUNGEN!$C$9:$C$128,A922,SONDERZAHLUNGEN!$H$9:$H$128,"OK",SONDERZAHLUNGEN!$F$9:$F$128,"Ja")-G922))</x:f>
      </x:c>
    </x:row>
    <x:row r="923" ht="19" customHeight="1">
      <x:c r="A923" s="90" t="n">
        <x:f>MONATSBUDGET!$A$53</x:f>
        <x:v>47604</x:v>
      </x:c>
      <x:c r="B923" t="n">
        <x:f>4</x:f>
        <x:v>4</x:v>
      </x:c>
      <x:c r="C923" t="str">
        <x:f>IF($N$12="","",$N$12)</x:f>
      </x:c>
      <x:c r="D923" s="88" t="str">
        <x:f>IF(C923="","",I903)</x:f>
      </x:c>
      <x:c r="E923" s="88" t="str">
        <x:f>IF(C923="","",ROUND(D923*$P$12/12,2))</x:f>
      </x:c>
      <x:c r="F923" s="88" t="str">
        <x:f>IF(C923="","",MIN(D923+E923,$Q$12))</x:f>
      </x:c>
      <x:c r="G923" s="88" t="str">
        <x:f>IF(C923="","",MIN(MAX(0,D923+E923-F923),SUMIFS(SONDERZAHLUNGEN!$E$9:$E$128,SONDERZAHLUNGEN!$B$9:$B$128,C923,SONDERZAHLUNGEN!$C$9:$C$128,A923,SONDERZAHLUNGEN!$H$9:$H$128,"OK",SONDERZAHLUNGEN!$F$9:$F$128,"Ja")))</x:f>
      </x:c>
      <x:c r="H923" s="88" t="str">
        <x:f>IF(C923="","",MIN(MAX(0,D923+E923-F923-G923),MAX(0,IF(MONATSBUDGET!$C$53="",0,MONATSBUDGET!$C$53)-SUM(F920:F939)-SUM(H920:H922))))</x:f>
      </x:c>
      <x:c r="I923" s="88" t="str">
        <x:f>IF(C923="","",MAX(0,ROUND(D923+E923-F923-G923-H923,2)))</x:f>
      </x:c>
      <x:c r="J923" s="88" t="str">
        <x:f>IF(C923="","",F923+G923+H923)</x:f>
      </x:c>
      <x:c r="K923" s="88" t="str">
        <x:f>IF(C923="","",MAX(0,SUMIFS(SONDERZAHLUNGEN!$E$9:$E$128,SONDERZAHLUNGEN!$B$9:$B$128,C923,SONDERZAHLUNGEN!$C$9:$C$128,A923,SONDERZAHLUNGEN!$H$9:$H$128,"OK",SONDERZAHLUNGEN!$F$9:$F$128,"Ja")-G923))</x:f>
      </x:c>
    </x:row>
    <x:row r="924" ht="19" customHeight="1">
      <x:c r="A924" s="90" t="n">
        <x:f>MONATSBUDGET!$A$53</x:f>
        <x:v>47604</x:v>
      </x:c>
      <x:c r="B924" t="n">
        <x:f>5</x:f>
        <x:v>5</x:v>
      </x:c>
      <x:c r="C924" t="str">
        <x:f>IF($N$13="","",$N$13)</x:f>
      </x:c>
      <x:c r="D924" s="88" t="str">
        <x:f>IF(C924="","",I904)</x:f>
      </x:c>
      <x:c r="E924" s="88" t="str">
        <x:f>IF(C924="","",ROUND(D924*$P$13/12,2))</x:f>
      </x:c>
      <x:c r="F924" s="88" t="str">
        <x:f>IF(C924="","",MIN(D924+E924,$Q$13))</x:f>
      </x:c>
      <x:c r="G924" s="88" t="str">
        <x:f>IF(C924="","",MIN(MAX(0,D924+E924-F924),SUMIFS(SONDERZAHLUNGEN!$E$9:$E$128,SONDERZAHLUNGEN!$B$9:$B$128,C924,SONDERZAHLUNGEN!$C$9:$C$128,A924,SONDERZAHLUNGEN!$H$9:$H$128,"OK",SONDERZAHLUNGEN!$F$9:$F$128,"Ja")))</x:f>
      </x:c>
      <x:c r="H924" s="88" t="str">
        <x:f>IF(C924="","",MIN(MAX(0,D924+E924-F924-G924),MAX(0,IF(MONATSBUDGET!$C$53="",0,MONATSBUDGET!$C$53)-SUM(F920:F939)-SUM(H920:H923))))</x:f>
      </x:c>
      <x:c r="I924" s="88" t="str">
        <x:f>IF(C924="","",MAX(0,ROUND(D924+E924-F924-G924-H924,2)))</x:f>
      </x:c>
      <x:c r="J924" s="88" t="str">
        <x:f>IF(C924="","",F924+G924+H924)</x:f>
      </x:c>
      <x:c r="K924" s="88" t="str">
        <x:f>IF(C924="","",MAX(0,SUMIFS(SONDERZAHLUNGEN!$E$9:$E$128,SONDERZAHLUNGEN!$B$9:$B$128,C924,SONDERZAHLUNGEN!$C$9:$C$128,A924,SONDERZAHLUNGEN!$H$9:$H$128,"OK",SONDERZAHLUNGEN!$F$9:$F$128,"Ja")-G924))</x:f>
      </x:c>
    </x:row>
    <x:row r="925" ht="19" customHeight="1">
      <x:c r="A925" s="90" t="n">
        <x:f>MONATSBUDGET!$A$53</x:f>
        <x:v>47604</x:v>
      </x:c>
      <x:c r="B925" t="n">
        <x:f>6</x:f>
        <x:v>6</x:v>
      </x:c>
      <x:c r="C925" t="str">
        <x:f>IF($N$14="","",$N$14)</x:f>
      </x:c>
      <x:c r="D925" s="88" t="str">
        <x:f>IF(C925="","",I905)</x:f>
      </x:c>
      <x:c r="E925" s="88" t="str">
        <x:f>IF(C925="","",ROUND(D925*$P$14/12,2))</x:f>
      </x:c>
      <x:c r="F925" s="88" t="str">
        <x:f>IF(C925="","",MIN(D925+E925,$Q$14))</x:f>
      </x:c>
      <x:c r="G925" s="88" t="str">
        <x:f>IF(C925="","",MIN(MAX(0,D925+E925-F925),SUMIFS(SONDERZAHLUNGEN!$E$9:$E$128,SONDERZAHLUNGEN!$B$9:$B$128,C925,SONDERZAHLUNGEN!$C$9:$C$128,A925,SONDERZAHLUNGEN!$H$9:$H$128,"OK",SONDERZAHLUNGEN!$F$9:$F$128,"Ja")))</x:f>
      </x:c>
      <x:c r="H925" s="88" t="str">
        <x:f>IF(C925="","",MIN(MAX(0,D925+E925-F925-G925),MAX(0,IF(MONATSBUDGET!$C$53="",0,MONATSBUDGET!$C$53)-SUM(F920:F939)-SUM(H920:H924))))</x:f>
      </x:c>
      <x:c r="I925" s="88" t="str">
        <x:f>IF(C925="","",MAX(0,ROUND(D925+E925-F925-G925-H925,2)))</x:f>
      </x:c>
      <x:c r="J925" s="88" t="str">
        <x:f>IF(C925="","",F925+G925+H925)</x:f>
      </x:c>
      <x:c r="K925" s="88" t="str">
        <x:f>IF(C925="","",MAX(0,SUMIFS(SONDERZAHLUNGEN!$E$9:$E$128,SONDERZAHLUNGEN!$B$9:$B$128,C925,SONDERZAHLUNGEN!$C$9:$C$128,A925,SONDERZAHLUNGEN!$H$9:$H$128,"OK",SONDERZAHLUNGEN!$F$9:$F$128,"Ja")-G925))</x:f>
      </x:c>
    </x:row>
    <x:row r="926" ht="19" customHeight="1">
      <x:c r="A926" s="90" t="n">
        <x:f>MONATSBUDGET!$A$53</x:f>
        <x:v>47604</x:v>
      </x:c>
      <x:c r="B926" t="n">
        <x:f>7</x:f>
        <x:v>7</x:v>
      </x:c>
      <x:c r="C926" t="str">
        <x:f>IF($N$15="","",$N$15)</x:f>
      </x:c>
      <x:c r="D926" s="88" t="str">
        <x:f>IF(C926="","",I906)</x:f>
      </x:c>
      <x:c r="E926" s="88" t="str">
        <x:f>IF(C926="","",ROUND(D926*$P$15/12,2))</x:f>
      </x:c>
      <x:c r="F926" s="88" t="str">
        <x:f>IF(C926="","",MIN(D926+E926,$Q$15))</x:f>
      </x:c>
      <x:c r="G926" s="88" t="str">
        <x:f>IF(C926="","",MIN(MAX(0,D926+E926-F926),SUMIFS(SONDERZAHLUNGEN!$E$9:$E$128,SONDERZAHLUNGEN!$B$9:$B$128,C926,SONDERZAHLUNGEN!$C$9:$C$128,A926,SONDERZAHLUNGEN!$H$9:$H$128,"OK",SONDERZAHLUNGEN!$F$9:$F$128,"Ja")))</x:f>
      </x:c>
      <x:c r="H926" s="88" t="str">
        <x:f>IF(C926="","",MIN(MAX(0,D926+E926-F926-G926),MAX(0,IF(MONATSBUDGET!$C$53="",0,MONATSBUDGET!$C$53)-SUM(F920:F939)-SUM(H920:H925))))</x:f>
      </x:c>
      <x:c r="I926" s="88" t="str">
        <x:f>IF(C926="","",MAX(0,ROUND(D926+E926-F926-G926-H926,2)))</x:f>
      </x:c>
      <x:c r="J926" s="88" t="str">
        <x:f>IF(C926="","",F926+G926+H926)</x:f>
      </x:c>
      <x:c r="K926" s="88" t="str">
        <x:f>IF(C926="","",MAX(0,SUMIFS(SONDERZAHLUNGEN!$E$9:$E$128,SONDERZAHLUNGEN!$B$9:$B$128,C926,SONDERZAHLUNGEN!$C$9:$C$128,A926,SONDERZAHLUNGEN!$H$9:$H$128,"OK",SONDERZAHLUNGEN!$F$9:$F$128,"Ja")-G926))</x:f>
      </x:c>
    </x:row>
    <x:row r="927" ht="19" customHeight="1">
      <x:c r="A927" s="90" t="n">
        <x:f>MONATSBUDGET!$A$53</x:f>
        <x:v>47604</x:v>
      </x:c>
      <x:c r="B927" t="n">
        <x:f>8</x:f>
        <x:v>8</x:v>
      </x:c>
      <x:c r="C927" t="str">
        <x:f>IF($N$16="","",$N$16)</x:f>
      </x:c>
      <x:c r="D927" s="88" t="str">
        <x:f>IF(C927="","",I907)</x:f>
      </x:c>
      <x:c r="E927" s="88" t="str">
        <x:f>IF(C927="","",ROUND(D927*$P$16/12,2))</x:f>
      </x:c>
      <x:c r="F927" s="88" t="str">
        <x:f>IF(C927="","",MIN(D927+E927,$Q$16))</x:f>
      </x:c>
      <x:c r="G927" s="88" t="str">
        <x:f>IF(C927="","",MIN(MAX(0,D927+E927-F927),SUMIFS(SONDERZAHLUNGEN!$E$9:$E$128,SONDERZAHLUNGEN!$B$9:$B$128,C927,SONDERZAHLUNGEN!$C$9:$C$128,A927,SONDERZAHLUNGEN!$H$9:$H$128,"OK",SONDERZAHLUNGEN!$F$9:$F$128,"Ja")))</x:f>
      </x:c>
      <x:c r="H927" s="88" t="str">
        <x:f>IF(C927="","",MIN(MAX(0,D927+E927-F927-G927),MAX(0,IF(MONATSBUDGET!$C$53="",0,MONATSBUDGET!$C$53)-SUM(F920:F939)-SUM(H920:H926))))</x:f>
      </x:c>
      <x:c r="I927" s="88" t="str">
        <x:f>IF(C927="","",MAX(0,ROUND(D927+E927-F927-G927-H927,2)))</x:f>
      </x:c>
      <x:c r="J927" s="88" t="str">
        <x:f>IF(C927="","",F927+G927+H927)</x:f>
      </x:c>
      <x:c r="K927" s="88" t="str">
        <x:f>IF(C927="","",MAX(0,SUMIFS(SONDERZAHLUNGEN!$E$9:$E$128,SONDERZAHLUNGEN!$B$9:$B$128,C927,SONDERZAHLUNGEN!$C$9:$C$128,A927,SONDERZAHLUNGEN!$H$9:$H$128,"OK",SONDERZAHLUNGEN!$F$9:$F$128,"Ja")-G927))</x:f>
      </x:c>
    </x:row>
    <x:row r="928" ht="19" customHeight="1">
      <x:c r="A928" s="90" t="n">
        <x:f>MONATSBUDGET!$A$53</x:f>
        <x:v>47604</x:v>
      </x:c>
      <x:c r="B928" t="n">
        <x:f>9</x:f>
        <x:v>9</x:v>
      </x:c>
      <x:c r="C928" t="str">
        <x:f>IF($N$17="","",$N$17)</x:f>
      </x:c>
      <x:c r="D928" s="88" t="str">
        <x:f>IF(C928="","",I908)</x:f>
      </x:c>
      <x:c r="E928" s="88" t="str">
        <x:f>IF(C928="","",ROUND(D928*$P$17/12,2))</x:f>
      </x:c>
      <x:c r="F928" s="88" t="str">
        <x:f>IF(C928="","",MIN(D928+E928,$Q$17))</x:f>
      </x:c>
      <x:c r="G928" s="88" t="str">
        <x:f>IF(C928="","",MIN(MAX(0,D928+E928-F928),SUMIFS(SONDERZAHLUNGEN!$E$9:$E$128,SONDERZAHLUNGEN!$B$9:$B$128,C928,SONDERZAHLUNGEN!$C$9:$C$128,A928,SONDERZAHLUNGEN!$H$9:$H$128,"OK",SONDERZAHLUNGEN!$F$9:$F$128,"Ja")))</x:f>
      </x:c>
      <x:c r="H928" s="88" t="str">
        <x:f>IF(C928="","",MIN(MAX(0,D928+E928-F928-G928),MAX(0,IF(MONATSBUDGET!$C$53="",0,MONATSBUDGET!$C$53)-SUM(F920:F939)-SUM(H920:H927))))</x:f>
      </x:c>
      <x:c r="I928" s="88" t="str">
        <x:f>IF(C928="","",MAX(0,ROUND(D928+E928-F928-G928-H928,2)))</x:f>
      </x:c>
      <x:c r="J928" s="88" t="str">
        <x:f>IF(C928="","",F928+G928+H928)</x:f>
      </x:c>
      <x:c r="K928" s="88" t="str">
        <x:f>IF(C928="","",MAX(0,SUMIFS(SONDERZAHLUNGEN!$E$9:$E$128,SONDERZAHLUNGEN!$B$9:$B$128,C928,SONDERZAHLUNGEN!$C$9:$C$128,A928,SONDERZAHLUNGEN!$H$9:$H$128,"OK",SONDERZAHLUNGEN!$F$9:$F$128,"Ja")-G928))</x:f>
      </x:c>
    </x:row>
    <x:row r="929" ht="19" customHeight="1">
      <x:c r="A929" s="90" t="n">
        <x:f>MONATSBUDGET!$A$53</x:f>
        <x:v>47604</x:v>
      </x:c>
      <x:c r="B929" t="n">
        <x:f>10</x:f>
        <x:v>10</x:v>
      </x:c>
      <x:c r="C929" t="str">
        <x:f>IF($N$18="","",$N$18)</x:f>
      </x:c>
      <x:c r="D929" s="88" t="str">
        <x:f>IF(C929="","",I909)</x:f>
      </x:c>
      <x:c r="E929" s="88" t="str">
        <x:f>IF(C929="","",ROUND(D929*$P$18/12,2))</x:f>
      </x:c>
      <x:c r="F929" s="88" t="str">
        <x:f>IF(C929="","",MIN(D929+E929,$Q$18))</x:f>
      </x:c>
      <x:c r="G929" s="88" t="str">
        <x:f>IF(C929="","",MIN(MAX(0,D929+E929-F929),SUMIFS(SONDERZAHLUNGEN!$E$9:$E$128,SONDERZAHLUNGEN!$B$9:$B$128,C929,SONDERZAHLUNGEN!$C$9:$C$128,A929,SONDERZAHLUNGEN!$H$9:$H$128,"OK",SONDERZAHLUNGEN!$F$9:$F$128,"Ja")))</x:f>
      </x:c>
      <x:c r="H929" s="88" t="str">
        <x:f>IF(C929="","",MIN(MAX(0,D929+E929-F929-G929),MAX(0,IF(MONATSBUDGET!$C$53="",0,MONATSBUDGET!$C$53)-SUM(F920:F939)-SUM(H920:H928))))</x:f>
      </x:c>
      <x:c r="I929" s="88" t="str">
        <x:f>IF(C929="","",MAX(0,ROUND(D929+E929-F929-G929-H929,2)))</x:f>
      </x:c>
      <x:c r="J929" s="88" t="str">
        <x:f>IF(C929="","",F929+G929+H929)</x:f>
      </x:c>
      <x:c r="K929" s="88" t="str">
        <x:f>IF(C929="","",MAX(0,SUMIFS(SONDERZAHLUNGEN!$E$9:$E$128,SONDERZAHLUNGEN!$B$9:$B$128,C929,SONDERZAHLUNGEN!$C$9:$C$128,A929,SONDERZAHLUNGEN!$H$9:$H$128,"OK",SONDERZAHLUNGEN!$F$9:$F$128,"Ja")-G929))</x:f>
      </x:c>
    </x:row>
    <x:row r="930" ht="19" customHeight="1">
      <x:c r="A930" s="90" t="n">
        <x:f>MONATSBUDGET!$A$53</x:f>
        <x:v>47604</x:v>
      </x:c>
      <x:c r="B930" t="n">
        <x:f>11</x:f>
        <x:v>11</x:v>
      </x:c>
      <x:c r="C930" t="str">
        <x:f>IF($N$19="","",$N$19)</x:f>
      </x:c>
      <x:c r="D930" s="88" t="str">
        <x:f>IF(C930="","",I910)</x:f>
      </x:c>
      <x:c r="E930" s="88" t="str">
        <x:f>IF(C930="","",ROUND(D930*$P$19/12,2))</x:f>
      </x:c>
      <x:c r="F930" s="88" t="str">
        <x:f>IF(C930="","",MIN(D930+E930,$Q$19))</x:f>
      </x:c>
      <x:c r="G930" s="88" t="str">
        <x:f>IF(C930="","",MIN(MAX(0,D930+E930-F930),SUMIFS(SONDERZAHLUNGEN!$E$9:$E$128,SONDERZAHLUNGEN!$B$9:$B$128,C930,SONDERZAHLUNGEN!$C$9:$C$128,A930,SONDERZAHLUNGEN!$H$9:$H$128,"OK",SONDERZAHLUNGEN!$F$9:$F$128,"Ja")))</x:f>
      </x:c>
      <x:c r="H930" s="88" t="str">
        <x:f>IF(C930="","",MIN(MAX(0,D930+E930-F930-G930),MAX(0,IF(MONATSBUDGET!$C$53="",0,MONATSBUDGET!$C$53)-SUM(F920:F939)-SUM(H920:H929))))</x:f>
      </x:c>
      <x:c r="I930" s="88" t="str">
        <x:f>IF(C930="","",MAX(0,ROUND(D930+E930-F930-G930-H930,2)))</x:f>
      </x:c>
      <x:c r="J930" s="88" t="str">
        <x:f>IF(C930="","",F930+G930+H930)</x:f>
      </x:c>
      <x:c r="K930" s="88" t="str">
        <x:f>IF(C930="","",MAX(0,SUMIFS(SONDERZAHLUNGEN!$E$9:$E$128,SONDERZAHLUNGEN!$B$9:$B$128,C930,SONDERZAHLUNGEN!$C$9:$C$128,A930,SONDERZAHLUNGEN!$H$9:$H$128,"OK",SONDERZAHLUNGEN!$F$9:$F$128,"Ja")-G930))</x:f>
      </x:c>
    </x:row>
    <x:row r="931" ht="19" customHeight="1">
      <x:c r="A931" s="90" t="n">
        <x:f>MONATSBUDGET!$A$53</x:f>
        <x:v>47604</x:v>
      </x:c>
      <x:c r="B931" t="n">
        <x:f>12</x:f>
        <x:v>12</x:v>
      </x:c>
      <x:c r="C931" t="str">
        <x:f>IF($N$20="","",$N$20)</x:f>
      </x:c>
      <x:c r="D931" s="88" t="str">
        <x:f>IF(C931="","",I911)</x:f>
      </x:c>
      <x:c r="E931" s="88" t="str">
        <x:f>IF(C931="","",ROUND(D931*$P$20/12,2))</x:f>
      </x:c>
      <x:c r="F931" s="88" t="str">
        <x:f>IF(C931="","",MIN(D931+E931,$Q$20))</x:f>
      </x:c>
      <x:c r="G931" s="88" t="str">
        <x:f>IF(C931="","",MIN(MAX(0,D931+E931-F931),SUMIFS(SONDERZAHLUNGEN!$E$9:$E$128,SONDERZAHLUNGEN!$B$9:$B$128,C931,SONDERZAHLUNGEN!$C$9:$C$128,A931,SONDERZAHLUNGEN!$H$9:$H$128,"OK",SONDERZAHLUNGEN!$F$9:$F$128,"Ja")))</x:f>
      </x:c>
      <x:c r="H931" s="88" t="str">
        <x:f>IF(C931="","",MIN(MAX(0,D931+E931-F931-G931),MAX(0,IF(MONATSBUDGET!$C$53="",0,MONATSBUDGET!$C$53)-SUM(F920:F939)-SUM(H920:H930))))</x:f>
      </x:c>
      <x:c r="I931" s="88" t="str">
        <x:f>IF(C931="","",MAX(0,ROUND(D931+E931-F931-G931-H931,2)))</x:f>
      </x:c>
      <x:c r="J931" s="88" t="str">
        <x:f>IF(C931="","",F931+G931+H931)</x:f>
      </x:c>
      <x:c r="K931" s="88" t="str">
        <x:f>IF(C931="","",MAX(0,SUMIFS(SONDERZAHLUNGEN!$E$9:$E$128,SONDERZAHLUNGEN!$B$9:$B$128,C931,SONDERZAHLUNGEN!$C$9:$C$128,A931,SONDERZAHLUNGEN!$H$9:$H$128,"OK",SONDERZAHLUNGEN!$F$9:$F$128,"Ja")-G931))</x:f>
      </x:c>
    </x:row>
    <x:row r="932" ht="19" customHeight="1">
      <x:c r="A932" s="90" t="n">
        <x:f>MONATSBUDGET!$A$53</x:f>
        <x:v>47604</x:v>
      </x:c>
      <x:c r="B932" t="n">
        <x:f>13</x:f>
        <x:v>13</x:v>
      </x:c>
      <x:c r="C932" t="str">
        <x:f>IF($N$21="","",$N$21)</x:f>
      </x:c>
      <x:c r="D932" s="88" t="str">
        <x:f>IF(C932="","",I912)</x:f>
      </x:c>
      <x:c r="E932" s="88" t="str">
        <x:f>IF(C932="","",ROUND(D932*$P$21/12,2))</x:f>
      </x:c>
      <x:c r="F932" s="88" t="str">
        <x:f>IF(C932="","",MIN(D932+E932,$Q$21))</x:f>
      </x:c>
      <x:c r="G932" s="88" t="str">
        <x:f>IF(C932="","",MIN(MAX(0,D932+E932-F932),SUMIFS(SONDERZAHLUNGEN!$E$9:$E$128,SONDERZAHLUNGEN!$B$9:$B$128,C932,SONDERZAHLUNGEN!$C$9:$C$128,A932,SONDERZAHLUNGEN!$H$9:$H$128,"OK",SONDERZAHLUNGEN!$F$9:$F$128,"Ja")))</x:f>
      </x:c>
      <x:c r="H932" s="88" t="str">
        <x:f>IF(C932="","",MIN(MAX(0,D932+E932-F932-G932),MAX(0,IF(MONATSBUDGET!$C$53="",0,MONATSBUDGET!$C$53)-SUM(F920:F939)-SUM(H920:H931))))</x:f>
      </x:c>
      <x:c r="I932" s="88" t="str">
        <x:f>IF(C932="","",MAX(0,ROUND(D932+E932-F932-G932-H932,2)))</x:f>
      </x:c>
      <x:c r="J932" s="88" t="str">
        <x:f>IF(C932="","",F932+G932+H932)</x:f>
      </x:c>
      <x:c r="K932" s="88" t="str">
        <x:f>IF(C932="","",MAX(0,SUMIFS(SONDERZAHLUNGEN!$E$9:$E$128,SONDERZAHLUNGEN!$B$9:$B$128,C932,SONDERZAHLUNGEN!$C$9:$C$128,A932,SONDERZAHLUNGEN!$H$9:$H$128,"OK",SONDERZAHLUNGEN!$F$9:$F$128,"Ja")-G932))</x:f>
      </x:c>
    </x:row>
    <x:row r="933" ht="19" customHeight="1">
      <x:c r="A933" s="90" t="n">
        <x:f>MONATSBUDGET!$A$53</x:f>
        <x:v>47604</x:v>
      </x:c>
      <x:c r="B933" t="n">
        <x:f>14</x:f>
        <x:v>14</x:v>
      </x:c>
      <x:c r="C933" t="str">
        <x:f>IF($N$22="","",$N$22)</x:f>
      </x:c>
      <x:c r="D933" s="88" t="str">
        <x:f>IF(C933="","",I913)</x:f>
      </x:c>
      <x:c r="E933" s="88" t="str">
        <x:f>IF(C933="","",ROUND(D933*$P$22/12,2))</x:f>
      </x:c>
      <x:c r="F933" s="88" t="str">
        <x:f>IF(C933="","",MIN(D933+E933,$Q$22))</x:f>
      </x:c>
      <x:c r="G933" s="88" t="str">
        <x:f>IF(C933="","",MIN(MAX(0,D933+E933-F933),SUMIFS(SONDERZAHLUNGEN!$E$9:$E$128,SONDERZAHLUNGEN!$B$9:$B$128,C933,SONDERZAHLUNGEN!$C$9:$C$128,A933,SONDERZAHLUNGEN!$H$9:$H$128,"OK",SONDERZAHLUNGEN!$F$9:$F$128,"Ja")))</x:f>
      </x:c>
      <x:c r="H933" s="88" t="str">
        <x:f>IF(C933="","",MIN(MAX(0,D933+E933-F933-G933),MAX(0,IF(MONATSBUDGET!$C$53="",0,MONATSBUDGET!$C$53)-SUM(F920:F939)-SUM(H920:H932))))</x:f>
      </x:c>
      <x:c r="I933" s="88" t="str">
        <x:f>IF(C933="","",MAX(0,ROUND(D933+E933-F933-G933-H933,2)))</x:f>
      </x:c>
      <x:c r="J933" s="88" t="str">
        <x:f>IF(C933="","",F933+G933+H933)</x:f>
      </x:c>
      <x:c r="K933" s="88" t="str">
        <x:f>IF(C933="","",MAX(0,SUMIFS(SONDERZAHLUNGEN!$E$9:$E$128,SONDERZAHLUNGEN!$B$9:$B$128,C933,SONDERZAHLUNGEN!$C$9:$C$128,A933,SONDERZAHLUNGEN!$H$9:$H$128,"OK",SONDERZAHLUNGEN!$F$9:$F$128,"Ja")-G933))</x:f>
      </x:c>
    </x:row>
    <x:row r="934" ht="19" customHeight="1">
      <x:c r="A934" s="90" t="n">
        <x:f>MONATSBUDGET!$A$53</x:f>
        <x:v>47604</x:v>
      </x:c>
      <x:c r="B934" t="n">
        <x:f>15</x:f>
        <x:v>15</x:v>
      </x:c>
      <x:c r="C934" t="str">
        <x:f>IF($N$23="","",$N$23)</x:f>
      </x:c>
      <x:c r="D934" s="88" t="str">
        <x:f>IF(C934="","",I914)</x:f>
      </x:c>
      <x:c r="E934" s="88" t="str">
        <x:f>IF(C934="","",ROUND(D934*$P$23/12,2))</x:f>
      </x:c>
      <x:c r="F934" s="88" t="str">
        <x:f>IF(C934="","",MIN(D934+E934,$Q$23))</x:f>
      </x:c>
      <x:c r="G934" s="88" t="str">
        <x:f>IF(C934="","",MIN(MAX(0,D934+E934-F934),SUMIFS(SONDERZAHLUNGEN!$E$9:$E$128,SONDERZAHLUNGEN!$B$9:$B$128,C934,SONDERZAHLUNGEN!$C$9:$C$128,A934,SONDERZAHLUNGEN!$H$9:$H$128,"OK",SONDERZAHLUNGEN!$F$9:$F$128,"Ja")))</x:f>
      </x:c>
      <x:c r="H934" s="88" t="str">
        <x:f>IF(C934="","",MIN(MAX(0,D934+E934-F934-G934),MAX(0,IF(MONATSBUDGET!$C$53="",0,MONATSBUDGET!$C$53)-SUM(F920:F939)-SUM(H920:H933))))</x:f>
      </x:c>
      <x:c r="I934" s="88" t="str">
        <x:f>IF(C934="","",MAX(0,ROUND(D934+E934-F934-G934-H934,2)))</x:f>
      </x:c>
      <x:c r="J934" s="88" t="str">
        <x:f>IF(C934="","",F934+G934+H934)</x:f>
      </x:c>
      <x:c r="K934" s="88" t="str">
        <x:f>IF(C934="","",MAX(0,SUMIFS(SONDERZAHLUNGEN!$E$9:$E$128,SONDERZAHLUNGEN!$B$9:$B$128,C934,SONDERZAHLUNGEN!$C$9:$C$128,A934,SONDERZAHLUNGEN!$H$9:$H$128,"OK",SONDERZAHLUNGEN!$F$9:$F$128,"Ja")-G934))</x:f>
      </x:c>
    </x:row>
    <x:row r="935" ht="19" customHeight="1">
      <x:c r="A935" s="90" t="n">
        <x:f>MONATSBUDGET!$A$53</x:f>
        <x:v>47604</x:v>
      </x:c>
      <x:c r="B935" t="n">
        <x:f>16</x:f>
        <x:v>16</x:v>
      </x:c>
      <x:c r="C935" t="str">
        <x:f>IF($N$24="","",$N$24)</x:f>
      </x:c>
      <x:c r="D935" s="88" t="str">
        <x:f>IF(C935="","",I915)</x:f>
      </x:c>
      <x:c r="E935" s="88" t="str">
        <x:f>IF(C935="","",ROUND(D935*$P$24/12,2))</x:f>
      </x:c>
      <x:c r="F935" s="88" t="str">
        <x:f>IF(C935="","",MIN(D935+E935,$Q$24))</x:f>
      </x:c>
      <x:c r="G935" s="88" t="str">
        <x:f>IF(C935="","",MIN(MAX(0,D935+E935-F935),SUMIFS(SONDERZAHLUNGEN!$E$9:$E$128,SONDERZAHLUNGEN!$B$9:$B$128,C935,SONDERZAHLUNGEN!$C$9:$C$128,A935,SONDERZAHLUNGEN!$H$9:$H$128,"OK",SONDERZAHLUNGEN!$F$9:$F$128,"Ja")))</x:f>
      </x:c>
      <x:c r="H935" s="88" t="str">
        <x:f>IF(C935="","",MIN(MAX(0,D935+E935-F935-G935),MAX(0,IF(MONATSBUDGET!$C$53="",0,MONATSBUDGET!$C$53)-SUM(F920:F939)-SUM(H920:H934))))</x:f>
      </x:c>
      <x:c r="I935" s="88" t="str">
        <x:f>IF(C935="","",MAX(0,ROUND(D935+E935-F935-G935-H935,2)))</x:f>
      </x:c>
      <x:c r="J935" s="88" t="str">
        <x:f>IF(C935="","",F935+G935+H935)</x:f>
      </x:c>
      <x:c r="K935" s="88" t="str">
        <x:f>IF(C935="","",MAX(0,SUMIFS(SONDERZAHLUNGEN!$E$9:$E$128,SONDERZAHLUNGEN!$B$9:$B$128,C935,SONDERZAHLUNGEN!$C$9:$C$128,A935,SONDERZAHLUNGEN!$H$9:$H$128,"OK",SONDERZAHLUNGEN!$F$9:$F$128,"Ja")-G935))</x:f>
      </x:c>
    </x:row>
    <x:row r="936" ht="19" customHeight="1">
      <x:c r="A936" s="90" t="n">
        <x:f>MONATSBUDGET!$A$53</x:f>
        <x:v>47604</x:v>
      </x:c>
      <x:c r="B936" t="n">
        <x:f>17</x:f>
        <x:v>17</x:v>
      </x:c>
      <x:c r="C936" t="str">
        <x:f>IF($N$25="","",$N$25)</x:f>
      </x:c>
      <x:c r="D936" s="88" t="str">
        <x:f>IF(C936="","",I916)</x:f>
      </x:c>
      <x:c r="E936" s="88" t="str">
        <x:f>IF(C936="","",ROUND(D936*$P$25/12,2))</x:f>
      </x:c>
      <x:c r="F936" s="88" t="str">
        <x:f>IF(C936="","",MIN(D936+E936,$Q$25))</x:f>
      </x:c>
      <x:c r="G936" s="88" t="str">
        <x:f>IF(C936="","",MIN(MAX(0,D936+E936-F936),SUMIFS(SONDERZAHLUNGEN!$E$9:$E$128,SONDERZAHLUNGEN!$B$9:$B$128,C936,SONDERZAHLUNGEN!$C$9:$C$128,A936,SONDERZAHLUNGEN!$H$9:$H$128,"OK",SONDERZAHLUNGEN!$F$9:$F$128,"Ja")))</x:f>
      </x:c>
      <x:c r="H936" s="88" t="str">
        <x:f>IF(C936="","",MIN(MAX(0,D936+E936-F936-G936),MAX(0,IF(MONATSBUDGET!$C$53="",0,MONATSBUDGET!$C$53)-SUM(F920:F939)-SUM(H920:H935))))</x:f>
      </x:c>
      <x:c r="I936" s="88" t="str">
        <x:f>IF(C936="","",MAX(0,ROUND(D936+E936-F936-G936-H936,2)))</x:f>
      </x:c>
      <x:c r="J936" s="88" t="str">
        <x:f>IF(C936="","",F936+G936+H936)</x:f>
      </x:c>
      <x:c r="K936" s="88" t="str">
        <x:f>IF(C936="","",MAX(0,SUMIFS(SONDERZAHLUNGEN!$E$9:$E$128,SONDERZAHLUNGEN!$B$9:$B$128,C936,SONDERZAHLUNGEN!$C$9:$C$128,A936,SONDERZAHLUNGEN!$H$9:$H$128,"OK",SONDERZAHLUNGEN!$F$9:$F$128,"Ja")-G936))</x:f>
      </x:c>
    </x:row>
    <x:row r="937" ht="19" customHeight="1">
      <x:c r="A937" s="90" t="n">
        <x:f>MONATSBUDGET!$A$53</x:f>
        <x:v>47604</x:v>
      </x:c>
      <x:c r="B937" t="n">
        <x:f>18</x:f>
        <x:v>18</x:v>
      </x:c>
      <x:c r="C937" t="str">
        <x:f>IF($N$26="","",$N$26)</x:f>
      </x:c>
      <x:c r="D937" s="88" t="str">
        <x:f>IF(C937="","",I917)</x:f>
      </x:c>
      <x:c r="E937" s="88" t="str">
        <x:f>IF(C937="","",ROUND(D937*$P$26/12,2))</x:f>
      </x:c>
      <x:c r="F937" s="88" t="str">
        <x:f>IF(C937="","",MIN(D937+E937,$Q$26))</x:f>
      </x:c>
      <x:c r="G937" s="88" t="str">
        <x:f>IF(C937="","",MIN(MAX(0,D937+E937-F937),SUMIFS(SONDERZAHLUNGEN!$E$9:$E$128,SONDERZAHLUNGEN!$B$9:$B$128,C937,SONDERZAHLUNGEN!$C$9:$C$128,A937,SONDERZAHLUNGEN!$H$9:$H$128,"OK",SONDERZAHLUNGEN!$F$9:$F$128,"Ja")))</x:f>
      </x:c>
      <x:c r="H937" s="88" t="str">
        <x:f>IF(C937="","",MIN(MAX(0,D937+E937-F937-G937),MAX(0,IF(MONATSBUDGET!$C$53="",0,MONATSBUDGET!$C$53)-SUM(F920:F939)-SUM(H920:H936))))</x:f>
      </x:c>
      <x:c r="I937" s="88" t="str">
        <x:f>IF(C937="","",MAX(0,ROUND(D937+E937-F937-G937-H937,2)))</x:f>
      </x:c>
      <x:c r="J937" s="88" t="str">
        <x:f>IF(C937="","",F937+G937+H937)</x:f>
      </x:c>
      <x:c r="K937" s="88" t="str">
        <x:f>IF(C937="","",MAX(0,SUMIFS(SONDERZAHLUNGEN!$E$9:$E$128,SONDERZAHLUNGEN!$B$9:$B$128,C937,SONDERZAHLUNGEN!$C$9:$C$128,A937,SONDERZAHLUNGEN!$H$9:$H$128,"OK",SONDERZAHLUNGEN!$F$9:$F$128,"Ja")-G937))</x:f>
      </x:c>
    </x:row>
    <x:row r="938" ht="19" customHeight="1">
      <x:c r="A938" s="90" t="n">
        <x:f>MONATSBUDGET!$A$53</x:f>
        <x:v>47604</x:v>
      </x:c>
      <x:c r="B938" t="n">
        <x:f>19</x:f>
        <x:v>19</x:v>
      </x:c>
      <x:c r="C938" t="str">
        <x:f>IF($N$27="","",$N$27)</x:f>
      </x:c>
      <x:c r="D938" s="88" t="str">
        <x:f>IF(C938="","",I918)</x:f>
      </x:c>
      <x:c r="E938" s="88" t="str">
        <x:f>IF(C938="","",ROUND(D938*$P$27/12,2))</x:f>
      </x:c>
      <x:c r="F938" s="88" t="str">
        <x:f>IF(C938="","",MIN(D938+E938,$Q$27))</x:f>
      </x:c>
      <x:c r="G938" s="88" t="str">
        <x:f>IF(C938="","",MIN(MAX(0,D938+E938-F938),SUMIFS(SONDERZAHLUNGEN!$E$9:$E$128,SONDERZAHLUNGEN!$B$9:$B$128,C938,SONDERZAHLUNGEN!$C$9:$C$128,A938,SONDERZAHLUNGEN!$H$9:$H$128,"OK",SONDERZAHLUNGEN!$F$9:$F$128,"Ja")))</x:f>
      </x:c>
      <x:c r="H938" s="88" t="str">
        <x:f>IF(C938="","",MIN(MAX(0,D938+E938-F938-G938),MAX(0,IF(MONATSBUDGET!$C$53="",0,MONATSBUDGET!$C$53)-SUM(F920:F939)-SUM(H920:H937))))</x:f>
      </x:c>
      <x:c r="I938" s="88" t="str">
        <x:f>IF(C938="","",MAX(0,ROUND(D938+E938-F938-G938-H938,2)))</x:f>
      </x:c>
      <x:c r="J938" s="88" t="str">
        <x:f>IF(C938="","",F938+G938+H938)</x:f>
      </x:c>
      <x:c r="K938" s="88" t="str">
        <x:f>IF(C938="","",MAX(0,SUMIFS(SONDERZAHLUNGEN!$E$9:$E$128,SONDERZAHLUNGEN!$B$9:$B$128,C938,SONDERZAHLUNGEN!$C$9:$C$128,A938,SONDERZAHLUNGEN!$H$9:$H$128,"OK",SONDERZAHLUNGEN!$F$9:$F$128,"Ja")-G938))</x:f>
      </x:c>
    </x:row>
    <x:row r="939" ht="19" customHeight="1">
      <x:c r="A939" s="90" t="n">
        <x:f>MONATSBUDGET!$A$53</x:f>
        <x:v>47604</x:v>
      </x:c>
      <x:c r="B939" t="n">
        <x:f>20</x:f>
        <x:v>20</x:v>
      </x:c>
      <x:c r="C939" t="str">
        <x:f>IF($N$28="","",$N$28)</x:f>
      </x:c>
      <x:c r="D939" s="88" t="str">
        <x:f>IF(C939="","",I919)</x:f>
      </x:c>
      <x:c r="E939" s="88" t="str">
        <x:f>IF(C939="","",ROUND(D939*$P$28/12,2))</x:f>
      </x:c>
      <x:c r="F939" s="88" t="str">
        <x:f>IF(C939="","",MIN(D939+E939,$Q$28))</x:f>
      </x:c>
      <x:c r="G939" s="88" t="str">
        <x:f>IF(C939="","",MIN(MAX(0,D939+E939-F939),SUMIFS(SONDERZAHLUNGEN!$E$9:$E$128,SONDERZAHLUNGEN!$B$9:$B$128,C939,SONDERZAHLUNGEN!$C$9:$C$128,A939,SONDERZAHLUNGEN!$H$9:$H$128,"OK",SONDERZAHLUNGEN!$F$9:$F$128,"Ja")))</x:f>
      </x:c>
      <x:c r="H939" s="88" t="str">
        <x:f>IF(C939="","",MIN(MAX(0,D939+E939-F939-G939),MAX(0,IF(MONATSBUDGET!$C$53="",0,MONATSBUDGET!$C$53)-SUM(F920:F939)-SUM(H920:H938))))</x:f>
      </x:c>
      <x:c r="I939" s="88" t="str">
        <x:f>IF(C939="","",MAX(0,ROUND(D939+E939-F939-G939-H939,2)))</x:f>
      </x:c>
      <x:c r="J939" s="88" t="str">
        <x:f>IF(C939="","",F939+G939+H939)</x:f>
      </x:c>
      <x:c r="K939" s="88" t="str">
        <x:f>IF(C939="","",MAX(0,SUMIFS(SONDERZAHLUNGEN!$E$9:$E$128,SONDERZAHLUNGEN!$B$9:$B$128,C939,SONDERZAHLUNGEN!$C$9:$C$128,A939,SONDERZAHLUNGEN!$H$9:$H$128,"OK",SONDERZAHLUNGEN!$F$9:$F$128,"Ja")-G939))</x:f>
      </x:c>
    </x:row>
    <x:row r="940" ht="19" customHeight="1">
      <x:c r="A940" s="90" t="n">
        <x:f>MONATSBUDGET!$A$54</x:f>
        <x:v>47635</x:v>
      </x:c>
      <x:c r="B940" t="n">
        <x:f>1</x:f>
        <x:v>1</x:v>
      </x:c>
      <x:c r="C940" t="str">
        <x:f>IF($N$9="","",$N$9)</x:f>
      </x:c>
      <x:c r="D940" s="88" t="str">
        <x:f>IF(C940="","",I920)</x:f>
      </x:c>
      <x:c r="E940" s="88" t="str">
        <x:f>IF(C940="","",ROUND(D940*$P$9/12,2))</x:f>
      </x:c>
      <x:c r="F940" s="88" t="str">
        <x:f>IF(C940="","",MIN(D940+E940,$Q$9))</x:f>
      </x:c>
      <x:c r="G940" s="88" t="str">
        <x:f>IF(C940="","",MIN(MAX(0,D940+E940-F940),SUMIFS(SONDERZAHLUNGEN!$E$9:$E$128,SONDERZAHLUNGEN!$B$9:$B$128,C940,SONDERZAHLUNGEN!$C$9:$C$128,A940,SONDERZAHLUNGEN!$H$9:$H$128,"OK",SONDERZAHLUNGEN!$F$9:$F$128,"Ja")))</x:f>
      </x:c>
      <x:c r="H940" s="88" t="str">
        <x:f>IF(C940="","",MIN(MAX(0,D940+E940-F940-G940),MAX(0,IF(MONATSBUDGET!$C$54="",0,MONATSBUDGET!$C$54)-SUM(F940:F959)-0)))</x:f>
      </x:c>
      <x:c r="I940" s="88" t="str">
        <x:f>IF(C940="","",MAX(0,ROUND(D940+E940-F940-G940-H940,2)))</x:f>
      </x:c>
      <x:c r="J940" s="88" t="str">
        <x:f>IF(C940="","",F940+G940+H940)</x:f>
      </x:c>
      <x:c r="K940" s="88" t="str">
        <x:f>IF(C940="","",MAX(0,SUMIFS(SONDERZAHLUNGEN!$E$9:$E$128,SONDERZAHLUNGEN!$B$9:$B$128,C940,SONDERZAHLUNGEN!$C$9:$C$128,A940,SONDERZAHLUNGEN!$H$9:$H$128,"OK",SONDERZAHLUNGEN!$F$9:$F$128,"Ja")-G940))</x:f>
      </x:c>
    </x:row>
    <x:row r="941" ht="19" customHeight="1">
      <x:c r="A941" s="90" t="n">
        <x:f>MONATSBUDGET!$A$54</x:f>
        <x:v>47635</x:v>
      </x:c>
      <x:c r="B941" t="n">
        <x:f>2</x:f>
        <x:v>2</x:v>
      </x:c>
      <x:c r="C941" t="str">
        <x:f>IF($N$10="","",$N$10)</x:f>
      </x:c>
      <x:c r="D941" s="88" t="str">
        <x:f>IF(C941="","",I921)</x:f>
      </x:c>
      <x:c r="E941" s="88" t="str">
        <x:f>IF(C941="","",ROUND(D941*$P$10/12,2))</x:f>
      </x:c>
      <x:c r="F941" s="88" t="str">
        <x:f>IF(C941="","",MIN(D941+E941,$Q$10))</x:f>
      </x:c>
      <x:c r="G941" s="88" t="str">
        <x:f>IF(C941="","",MIN(MAX(0,D941+E941-F941),SUMIFS(SONDERZAHLUNGEN!$E$9:$E$128,SONDERZAHLUNGEN!$B$9:$B$128,C941,SONDERZAHLUNGEN!$C$9:$C$128,A941,SONDERZAHLUNGEN!$H$9:$H$128,"OK",SONDERZAHLUNGEN!$F$9:$F$128,"Ja")))</x:f>
      </x:c>
      <x:c r="H941" s="88" t="str">
        <x:f>IF(C941="","",MIN(MAX(0,D941+E941-F941-G941),MAX(0,IF(MONATSBUDGET!$C$54="",0,MONATSBUDGET!$C$54)-SUM(F940:F959)-SUM(H940:H940))))</x:f>
      </x:c>
      <x:c r="I941" s="88" t="str">
        <x:f>IF(C941="","",MAX(0,ROUND(D941+E941-F941-G941-H941,2)))</x:f>
      </x:c>
      <x:c r="J941" s="88" t="str">
        <x:f>IF(C941="","",F941+G941+H941)</x:f>
      </x:c>
      <x:c r="K941" s="88" t="str">
        <x:f>IF(C941="","",MAX(0,SUMIFS(SONDERZAHLUNGEN!$E$9:$E$128,SONDERZAHLUNGEN!$B$9:$B$128,C941,SONDERZAHLUNGEN!$C$9:$C$128,A941,SONDERZAHLUNGEN!$H$9:$H$128,"OK",SONDERZAHLUNGEN!$F$9:$F$128,"Ja")-G941))</x:f>
      </x:c>
    </x:row>
    <x:row r="942" ht="19" customHeight="1">
      <x:c r="A942" s="90" t="n">
        <x:f>MONATSBUDGET!$A$54</x:f>
        <x:v>47635</x:v>
      </x:c>
      <x:c r="B942" t="n">
        <x:f>3</x:f>
        <x:v>3</x:v>
      </x:c>
      <x:c r="C942" t="str">
        <x:f>IF($N$11="","",$N$11)</x:f>
      </x:c>
      <x:c r="D942" s="88" t="str">
        <x:f>IF(C942="","",I922)</x:f>
      </x:c>
      <x:c r="E942" s="88" t="str">
        <x:f>IF(C942="","",ROUND(D942*$P$11/12,2))</x:f>
      </x:c>
      <x:c r="F942" s="88" t="str">
        <x:f>IF(C942="","",MIN(D942+E942,$Q$11))</x:f>
      </x:c>
      <x:c r="G942" s="88" t="str">
        <x:f>IF(C942="","",MIN(MAX(0,D942+E942-F942),SUMIFS(SONDERZAHLUNGEN!$E$9:$E$128,SONDERZAHLUNGEN!$B$9:$B$128,C942,SONDERZAHLUNGEN!$C$9:$C$128,A942,SONDERZAHLUNGEN!$H$9:$H$128,"OK",SONDERZAHLUNGEN!$F$9:$F$128,"Ja")))</x:f>
      </x:c>
      <x:c r="H942" s="88" t="str">
        <x:f>IF(C942="","",MIN(MAX(0,D942+E942-F942-G942),MAX(0,IF(MONATSBUDGET!$C$54="",0,MONATSBUDGET!$C$54)-SUM(F940:F959)-SUM(H940:H941))))</x:f>
      </x:c>
      <x:c r="I942" s="88" t="str">
        <x:f>IF(C942="","",MAX(0,ROUND(D942+E942-F942-G942-H942,2)))</x:f>
      </x:c>
      <x:c r="J942" s="88" t="str">
        <x:f>IF(C942="","",F942+G942+H942)</x:f>
      </x:c>
      <x:c r="K942" s="88" t="str">
        <x:f>IF(C942="","",MAX(0,SUMIFS(SONDERZAHLUNGEN!$E$9:$E$128,SONDERZAHLUNGEN!$B$9:$B$128,C942,SONDERZAHLUNGEN!$C$9:$C$128,A942,SONDERZAHLUNGEN!$H$9:$H$128,"OK",SONDERZAHLUNGEN!$F$9:$F$128,"Ja")-G942))</x:f>
      </x:c>
    </x:row>
    <x:row r="943" ht="19" customHeight="1">
      <x:c r="A943" s="90" t="n">
        <x:f>MONATSBUDGET!$A$54</x:f>
        <x:v>47635</x:v>
      </x:c>
      <x:c r="B943" t="n">
        <x:f>4</x:f>
        <x:v>4</x:v>
      </x:c>
      <x:c r="C943" t="str">
        <x:f>IF($N$12="","",$N$12)</x:f>
      </x:c>
      <x:c r="D943" s="88" t="str">
        <x:f>IF(C943="","",I923)</x:f>
      </x:c>
      <x:c r="E943" s="88" t="str">
        <x:f>IF(C943="","",ROUND(D943*$P$12/12,2))</x:f>
      </x:c>
      <x:c r="F943" s="88" t="str">
        <x:f>IF(C943="","",MIN(D943+E943,$Q$12))</x:f>
      </x:c>
      <x:c r="G943" s="88" t="str">
        <x:f>IF(C943="","",MIN(MAX(0,D943+E943-F943),SUMIFS(SONDERZAHLUNGEN!$E$9:$E$128,SONDERZAHLUNGEN!$B$9:$B$128,C943,SONDERZAHLUNGEN!$C$9:$C$128,A943,SONDERZAHLUNGEN!$H$9:$H$128,"OK",SONDERZAHLUNGEN!$F$9:$F$128,"Ja")))</x:f>
      </x:c>
      <x:c r="H943" s="88" t="str">
        <x:f>IF(C943="","",MIN(MAX(0,D943+E943-F943-G943),MAX(0,IF(MONATSBUDGET!$C$54="",0,MONATSBUDGET!$C$54)-SUM(F940:F959)-SUM(H940:H942))))</x:f>
      </x:c>
      <x:c r="I943" s="88" t="str">
        <x:f>IF(C943="","",MAX(0,ROUND(D943+E943-F943-G943-H943,2)))</x:f>
      </x:c>
      <x:c r="J943" s="88" t="str">
        <x:f>IF(C943="","",F943+G943+H943)</x:f>
      </x:c>
      <x:c r="K943" s="88" t="str">
        <x:f>IF(C943="","",MAX(0,SUMIFS(SONDERZAHLUNGEN!$E$9:$E$128,SONDERZAHLUNGEN!$B$9:$B$128,C943,SONDERZAHLUNGEN!$C$9:$C$128,A943,SONDERZAHLUNGEN!$H$9:$H$128,"OK",SONDERZAHLUNGEN!$F$9:$F$128,"Ja")-G943))</x:f>
      </x:c>
    </x:row>
    <x:row r="944" ht="19" customHeight="1">
      <x:c r="A944" s="90" t="n">
        <x:f>MONATSBUDGET!$A$54</x:f>
        <x:v>47635</x:v>
      </x:c>
      <x:c r="B944" t="n">
        <x:f>5</x:f>
        <x:v>5</x:v>
      </x:c>
      <x:c r="C944" t="str">
        <x:f>IF($N$13="","",$N$13)</x:f>
      </x:c>
      <x:c r="D944" s="88" t="str">
        <x:f>IF(C944="","",I924)</x:f>
      </x:c>
      <x:c r="E944" s="88" t="str">
        <x:f>IF(C944="","",ROUND(D944*$P$13/12,2))</x:f>
      </x:c>
      <x:c r="F944" s="88" t="str">
        <x:f>IF(C944="","",MIN(D944+E944,$Q$13))</x:f>
      </x:c>
      <x:c r="G944" s="88" t="str">
        <x:f>IF(C944="","",MIN(MAX(0,D944+E944-F944),SUMIFS(SONDERZAHLUNGEN!$E$9:$E$128,SONDERZAHLUNGEN!$B$9:$B$128,C944,SONDERZAHLUNGEN!$C$9:$C$128,A944,SONDERZAHLUNGEN!$H$9:$H$128,"OK",SONDERZAHLUNGEN!$F$9:$F$128,"Ja")))</x:f>
      </x:c>
      <x:c r="H944" s="88" t="str">
        <x:f>IF(C944="","",MIN(MAX(0,D944+E944-F944-G944),MAX(0,IF(MONATSBUDGET!$C$54="",0,MONATSBUDGET!$C$54)-SUM(F940:F959)-SUM(H940:H943))))</x:f>
      </x:c>
      <x:c r="I944" s="88" t="str">
        <x:f>IF(C944="","",MAX(0,ROUND(D944+E944-F944-G944-H944,2)))</x:f>
      </x:c>
      <x:c r="J944" s="88" t="str">
        <x:f>IF(C944="","",F944+G944+H944)</x:f>
      </x:c>
      <x:c r="K944" s="88" t="str">
        <x:f>IF(C944="","",MAX(0,SUMIFS(SONDERZAHLUNGEN!$E$9:$E$128,SONDERZAHLUNGEN!$B$9:$B$128,C944,SONDERZAHLUNGEN!$C$9:$C$128,A944,SONDERZAHLUNGEN!$H$9:$H$128,"OK",SONDERZAHLUNGEN!$F$9:$F$128,"Ja")-G944))</x:f>
      </x:c>
    </x:row>
    <x:row r="945" ht="19" customHeight="1">
      <x:c r="A945" s="90" t="n">
        <x:f>MONATSBUDGET!$A$54</x:f>
        <x:v>47635</x:v>
      </x:c>
      <x:c r="B945" t="n">
        <x:f>6</x:f>
        <x:v>6</x:v>
      </x:c>
      <x:c r="C945" t="str">
        <x:f>IF($N$14="","",$N$14)</x:f>
      </x:c>
      <x:c r="D945" s="88" t="str">
        <x:f>IF(C945="","",I925)</x:f>
      </x:c>
      <x:c r="E945" s="88" t="str">
        <x:f>IF(C945="","",ROUND(D945*$P$14/12,2))</x:f>
      </x:c>
      <x:c r="F945" s="88" t="str">
        <x:f>IF(C945="","",MIN(D945+E945,$Q$14))</x:f>
      </x:c>
      <x:c r="G945" s="88" t="str">
        <x:f>IF(C945="","",MIN(MAX(0,D945+E945-F945),SUMIFS(SONDERZAHLUNGEN!$E$9:$E$128,SONDERZAHLUNGEN!$B$9:$B$128,C945,SONDERZAHLUNGEN!$C$9:$C$128,A945,SONDERZAHLUNGEN!$H$9:$H$128,"OK",SONDERZAHLUNGEN!$F$9:$F$128,"Ja")))</x:f>
      </x:c>
      <x:c r="H945" s="88" t="str">
        <x:f>IF(C945="","",MIN(MAX(0,D945+E945-F945-G945),MAX(0,IF(MONATSBUDGET!$C$54="",0,MONATSBUDGET!$C$54)-SUM(F940:F959)-SUM(H940:H944))))</x:f>
      </x:c>
      <x:c r="I945" s="88" t="str">
        <x:f>IF(C945="","",MAX(0,ROUND(D945+E945-F945-G945-H945,2)))</x:f>
      </x:c>
      <x:c r="J945" s="88" t="str">
        <x:f>IF(C945="","",F945+G945+H945)</x:f>
      </x:c>
      <x:c r="K945" s="88" t="str">
        <x:f>IF(C945="","",MAX(0,SUMIFS(SONDERZAHLUNGEN!$E$9:$E$128,SONDERZAHLUNGEN!$B$9:$B$128,C945,SONDERZAHLUNGEN!$C$9:$C$128,A945,SONDERZAHLUNGEN!$H$9:$H$128,"OK",SONDERZAHLUNGEN!$F$9:$F$128,"Ja")-G945))</x:f>
      </x:c>
    </x:row>
    <x:row r="946" ht="19" customHeight="1">
      <x:c r="A946" s="90" t="n">
        <x:f>MONATSBUDGET!$A$54</x:f>
        <x:v>47635</x:v>
      </x:c>
      <x:c r="B946" t="n">
        <x:f>7</x:f>
        <x:v>7</x:v>
      </x:c>
      <x:c r="C946" t="str">
        <x:f>IF($N$15="","",$N$15)</x:f>
      </x:c>
      <x:c r="D946" s="88" t="str">
        <x:f>IF(C946="","",I926)</x:f>
      </x:c>
      <x:c r="E946" s="88" t="str">
        <x:f>IF(C946="","",ROUND(D946*$P$15/12,2))</x:f>
      </x:c>
      <x:c r="F946" s="88" t="str">
        <x:f>IF(C946="","",MIN(D946+E946,$Q$15))</x:f>
      </x:c>
      <x:c r="G946" s="88" t="str">
        <x:f>IF(C946="","",MIN(MAX(0,D946+E946-F946),SUMIFS(SONDERZAHLUNGEN!$E$9:$E$128,SONDERZAHLUNGEN!$B$9:$B$128,C946,SONDERZAHLUNGEN!$C$9:$C$128,A946,SONDERZAHLUNGEN!$H$9:$H$128,"OK",SONDERZAHLUNGEN!$F$9:$F$128,"Ja")))</x:f>
      </x:c>
      <x:c r="H946" s="88" t="str">
        <x:f>IF(C946="","",MIN(MAX(0,D946+E946-F946-G946),MAX(0,IF(MONATSBUDGET!$C$54="",0,MONATSBUDGET!$C$54)-SUM(F940:F959)-SUM(H940:H945))))</x:f>
      </x:c>
      <x:c r="I946" s="88" t="str">
        <x:f>IF(C946="","",MAX(0,ROUND(D946+E946-F946-G946-H946,2)))</x:f>
      </x:c>
      <x:c r="J946" s="88" t="str">
        <x:f>IF(C946="","",F946+G946+H946)</x:f>
      </x:c>
      <x:c r="K946" s="88" t="str">
        <x:f>IF(C946="","",MAX(0,SUMIFS(SONDERZAHLUNGEN!$E$9:$E$128,SONDERZAHLUNGEN!$B$9:$B$128,C946,SONDERZAHLUNGEN!$C$9:$C$128,A946,SONDERZAHLUNGEN!$H$9:$H$128,"OK",SONDERZAHLUNGEN!$F$9:$F$128,"Ja")-G946))</x:f>
      </x:c>
    </x:row>
    <x:row r="947" ht="19" customHeight="1">
      <x:c r="A947" s="90" t="n">
        <x:f>MONATSBUDGET!$A$54</x:f>
        <x:v>47635</x:v>
      </x:c>
      <x:c r="B947" t="n">
        <x:f>8</x:f>
        <x:v>8</x:v>
      </x:c>
      <x:c r="C947" t="str">
        <x:f>IF($N$16="","",$N$16)</x:f>
      </x:c>
      <x:c r="D947" s="88" t="str">
        <x:f>IF(C947="","",I927)</x:f>
      </x:c>
      <x:c r="E947" s="88" t="str">
        <x:f>IF(C947="","",ROUND(D947*$P$16/12,2))</x:f>
      </x:c>
      <x:c r="F947" s="88" t="str">
        <x:f>IF(C947="","",MIN(D947+E947,$Q$16))</x:f>
      </x:c>
      <x:c r="G947" s="88" t="str">
        <x:f>IF(C947="","",MIN(MAX(0,D947+E947-F947),SUMIFS(SONDERZAHLUNGEN!$E$9:$E$128,SONDERZAHLUNGEN!$B$9:$B$128,C947,SONDERZAHLUNGEN!$C$9:$C$128,A947,SONDERZAHLUNGEN!$H$9:$H$128,"OK",SONDERZAHLUNGEN!$F$9:$F$128,"Ja")))</x:f>
      </x:c>
      <x:c r="H947" s="88" t="str">
        <x:f>IF(C947="","",MIN(MAX(0,D947+E947-F947-G947),MAX(0,IF(MONATSBUDGET!$C$54="",0,MONATSBUDGET!$C$54)-SUM(F940:F959)-SUM(H940:H946))))</x:f>
      </x:c>
      <x:c r="I947" s="88" t="str">
        <x:f>IF(C947="","",MAX(0,ROUND(D947+E947-F947-G947-H947,2)))</x:f>
      </x:c>
      <x:c r="J947" s="88" t="str">
        <x:f>IF(C947="","",F947+G947+H947)</x:f>
      </x:c>
      <x:c r="K947" s="88" t="str">
        <x:f>IF(C947="","",MAX(0,SUMIFS(SONDERZAHLUNGEN!$E$9:$E$128,SONDERZAHLUNGEN!$B$9:$B$128,C947,SONDERZAHLUNGEN!$C$9:$C$128,A947,SONDERZAHLUNGEN!$H$9:$H$128,"OK",SONDERZAHLUNGEN!$F$9:$F$128,"Ja")-G947))</x:f>
      </x:c>
    </x:row>
    <x:row r="948" ht="19" customHeight="1">
      <x:c r="A948" s="90" t="n">
        <x:f>MONATSBUDGET!$A$54</x:f>
        <x:v>47635</x:v>
      </x:c>
      <x:c r="B948" t="n">
        <x:f>9</x:f>
        <x:v>9</x:v>
      </x:c>
      <x:c r="C948" t="str">
        <x:f>IF($N$17="","",$N$17)</x:f>
      </x:c>
      <x:c r="D948" s="88" t="str">
        <x:f>IF(C948="","",I928)</x:f>
      </x:c>
      <x:c r="E948" s="88" t="str">
        <x:f>IF(C948="","",ROUND(D948*$P$17/12,2))</x:f>
      </x:c>
      <x:c r="F948" s="88" t="str">
        <x:f>IF(C948="","",MIN(D948+E948,$Q$17))</x:f>
      </x:c>
      <x:c r="G948" s="88" t="str">
        <x:f>IF(C948="","",MIN(MAX(0,D948+E948-F948),SUMIFS(SONDERZAHLUNGEN!$E$9:$E$128,SONDERZAHLUNGEN!$B$9:$B$128,C948,SONDERZAHLUNGEN!$C$9:$C$128,A948,SONDERZAHLUNGEN!$H$9:$H$128,"OK",SONDERZAHLUNGEN!$F$9:$F$128,"Ja")))</x:f>
      </x:c>
      <x:c r="H948" s="88" t="str">
        <x:f>IF(C948="","",MIN(MAX(0,D948+E948-F948-G948),MAX(0,IF(MONATSBUDGET!$C$54="",0,MONATSBUDGET!$C$54)-SUM(F940:F959)-SUM(H940:H947))))</x:f>
      </x:c>
      <x:c r="I948" s="88" t="str">
        <x:f>IF(C948="","",MAX(0,ROUND(D948+E948-F948-G948-H948,2)))</x:f>
      </x:c>
      <x:c r="J948" s="88" t="str">
        <x:f>IF(C948="","",F948+G948+H948)</x:f>
      </x:c>
      <x:c r="K948" s="88" t="str">
        <x:f>IF(C948="","",MAX(0,SUMIFS(SONDERZAHLUNGEN!$E$9:$E$128,SONDERZAHLUNGEN!$B$9:$B$128,C948,SONDERZAHLUNGEN!$C$9:$C$128,A948,SONDERZAHLUNGEN!$H$9:$H$128,"OK",SONDERZAHLUNGEN!$F$9:$F$128,"Ja")-G948))</x:f>
      </x:c>
    </x:row>
    <x:row r="949" ht="19" customHeight="1">
      <x:c r="A949" s="90" t="n">
        <x:f>MONATSBUDGET!$A$54</x:f>
        <x:v>47635</x:v>
      </x:c>
      <x:c r="B949" t="n">
        <x:f>10</x:f>
        <x:v>10</x:v>
      </x:c>
      <x:c r="C949" t="str">
        <x:f>IF($N$18="","",$N$18)</x:f>
      </x:c>
      <x:c r="D949" s="88" t="str">
        <x:f>IF(C949="","",I929)</x:f>
      </x:c>
      <x:c r="E949" s="88" t="str">
        <x:f>IF(C949="","",ROUND(D949*$P$18/12,2))</x:f>
      </x:c>
      <x:c r="F949" s="88" t="str">
        <x:f>IF(C949="","",MIN(D949+E949,$Q$18))</x:f>
      </x:c>
      <x:c r="G949" s="88" t="str">
        <x:f>IF(C949="","",MIN(MAX(0,D949+E949-F949),SUMIFS(SONDERZAHLUNGEN!$E$9:$E$128,SONDERZAHLUNGEN!$B$9:$B$128,C949,SONDERZAHLUNGEN!$C$9:$C$128,A949,SONDERZAHLUNGEN!$H$9:$H$128,"OK",SONDERZAHLUNGEN!$F$9:$F$128,"Ja")))</x:f>
      </x:c>
      <x:c r="H949" s="88" t="str">
        <x:f>IF(C949="","",MIN(MAX(0,D949+E949-F949-G949),MAX(0,IF(MONATSBUDGET!$C$54="",0,MONATSBUDGET!$C$54)-SUM(F940:F959)-SUM(H940:H948))))</x:f>
      </x:c>
      <x:c r="I949" s="88" t="str">
        <x:f>IF(C949="","",MAX(0,ROUND(D949+E949-F949-G949-H949,2)))</x:f>
      </x:c>
      <x:c r="J949" s="88" t="str">
        <x:f>IF(C949="","",F949+G949+H949)</x:f>
      </x:c>
      <x:c r="K949" s="88" t="str">
        <x:f>IF(C949="","",MAX(0,SUMIFS(SONDERZAHLUNGEN!$E$9:$E$128,SONDERZAHLUNGEN!$B$9:$B$128,C949,SONDERZAHLUNGEN!$C$9:$C$128,A949,SONDERZAHLUNGEN!$H$9:$H$128,"OK",SONDERZAHLUNGEN!$F$9:$F$128,"Ja")-G949))</x:f>
      </x:c>
    </x:row>
    <x:row r="950" ht="19" customHeight="1">
      <x:c r="A950" s="90" t="n">
        <x:f>MONATSBUDGET!$A$54</x:f>
        <x:v>47635</x:v>
      </x:c>
      <x:c r="B950" t="n">
        <x:f>11</x:f>
        <x:v>11</x:v>
      </x:c>
      <x:c r="C950" t="str">
        <x:f>IF($N$19="","",$N$19)</x:f>
      </x:c>
      <x:c r="D950" s="88" t="str">
        <x:f>IF(C950="","",I930)</x:f>
      </x:c>
      <x:c r="E950" s="88" t="str">
        <x:f>IF(C950="","",ROUND(D950*$P$19/12,2))</x:f>
      </x:c>
      <x:c r="F950" s="88" t="str">
        <x:f>IF(C950="","",MIN(D950+E950,$Q$19))</x:f>
      </x:c>
      <x:c r="G950" s="88" t="str">
        <x:f>IF(C950="","",MIN(MAX(0,D950+E950-F950),SUMIFS(SONDERZAHLUNGEN!$E$9:$E$128,SONDERZAHLUNGEN!$B$9:$B$128,C950,SONDERZAHLUNGEN!$C$9:$C$128,A950,SONDERZAHLUNGEN!$H$9:$H$128,"OK",SONDERZAHLUNGEN!$F$9:$F$128,"Ja")))</x:f>
      </x:c>
      <x:c r="H950" s="88" t="str">
        <x:f>IF(C950="","",MIN(MAX(0,D950+E950-F950-G950),MAX(0,IF(MONATSBUDGET!$C$54="",0,MONATSBUDGET!$C$54)-SUM(F940:F959)-SUM(H940:H949))))</x:f>
      </x:c>
      <x:c r="I950" s="88" t="str">
        <x:f>IF(C950="","",MAX(0,ROUND(D950+E950-F950-G950-H950,2)))</x:f>
      </x:c>
      <x:c r="J950" s="88" t="str">
        <x:f>IF(C950="","",F950+G950+H950)</x:f>
      </x:c>
      <x:c r="K950" s="88" t="str">
        <x:f>IF(C950="","",MAX(0,SUMIFS(SONDERZAHLUNGEN!$E$9:$E$128,SONDERZAHLUNGEN!$B$9:$B$128,C950,SONDERZAHLUNGEN!$C$9:$C$128,A950,SONDERZAHLUNGEN!$H$9:$H$128,"OK",SONDERZAHLUNGEN!$F$9:$F$128,"Ja")-G950))</x:f>
      </x:c>
    </x:row>
    <x:row r="951" ht="19" customHeight="1">
      <x:c r="A951" s="90" t="n">
        <x:f>MONATSBUDGET!$A$54</x:f>
        <x:v>47635</x:v>
      </x:c>
      <x:c r="B951" t="n">
        <x:f>12</x:f>
        <x:v>12</x:v>
      </x:c>
      <x:c r="C951" t="str">
        <x:f>IF($N$20="","",$N$20)</x:f>
      </x:c>
      <x:c r="D951" s="88" t="str">
        <x:f>IF(C951="","",I931)</x:f>
      </x:c>
      <x:c r="E951" s="88" t="str">
        <x:f>IF(C951="","",ROUND(D951*$P$20/12,2))</x:f>
      </x:c>
      <x:c r="F951" s="88" t="str">
        <x:f>IF(C951="","",MIN(D951+E951,$Q$20))</x:f>
      </x:c>
      <x:c r="G951" s="88" t="str">
        <x:f>IF(C951="","",MIN(MAX(0,D951+E951-F951),SUMIFS(SONDERZAHLUNGEN!$E$9:$E$128,SONDERZAHLUNGEN!$B$9:$B$128,C951,SONDERZAHLUNGEN!$C$9:$C$128,A951,SONDERZAHLUNGEN!$H$9:$H$128,"OK",SONDERZAHLUNGEN!$F$9:$F$128,"Ja")))</x:f>
      </x:c>
      <x:c r="H951" s="88" t="str">
        <x:f>IF(C951="","",MIN(MAX(0,D951+E951-F951-G951),MAX(0,IF(MONATSBUDGET!$C$54="",0,MONATSBUDGET!$C$54)-SUM(F940:F959)-SUM(H940:H950))))</x:f>
      </x:c>
      <x:c r="I951" s="88" t="str">
        <x:f>IF(C951="","",MAX(0,ROUND(D951+E951-F951-G951-H951,2)))</x:f>
      </x:c>
      <x:c r="J951" s="88" t="str">
        <x:f>IF(C951="","",F951+G951+H951)</x:f>
      </x:c>
      <x:c r="K951" s="88" t="str">
        <x:f>IF(C951="","",MAX(0,SUMIFS(SONDERZAHLUNGEN!$E$9:$E$128,SONDERZAHLUNGEN!$B$9:$B$128,C951,SONDERZAHLUNGEN!$C$9:$C$128,A951,SONDERZAHLUNGEN!$H$9:$H$128,"OK",SONDERZAHLUNGEN!$F$9:$F$128,"Ja")-G951))</x:f>
      </x:c>
    </x:row>
    <x:row r="952" ht="19" customHeight="1">
      <x:c r="A952" s="90" t="n">
        <x:f>MONATSBUDGET!$A$54</x:f>
        <x:v>47635</x:v>
      </x:c>
      <x:c r="B952" t="n">
        <x:f>13</x:f>
        <x:v>13</x:v>
      </x:c>
      <x:c r="C952" t="str">
        <x:f>IF($N$21="","",$N$21)</x:f>
      </x:c>
      <x:c r="D952" s="88" t="str">
        <x:f>IF(C952="","",I932)</x:f>
      </x:c>
      <x:c r="E952" s="88" t="str">
        <x:f>IF(C952="","",ROUND(D952*$P$21/12,2))</x:f>
      </x:c>
      <x:c r="F952" s="88" t="str">
        <x:f>IF(C952="","",MIN(D952+E952,$Q$21))</x:f>
      </x:c>
      <x:c r="G952" s="88" t="str">
        <x:f>IF(C952="","",MIN(MAX(0,D952+E952-F952),SUMIFS(SONDERZAHLUNGEN!$E$9:$E$128,SONDERZAHLUNGEN!$B$9:$B$128,C952,SONDERZAHLUNGEN!$C$9:$C$128,A952,SONDERZAHLUNGEN!$H$9:$H$128,"OK",SONDERZAHLUNGEN!$F$9:$F$128,"Ja")))</x:f>
      </x:c>
      <x:c r="H952" s="88" t="str">
        <x:f>IF(C952="","",MIN(MAX(0,D952+E952-F952-G952),MAX(0,IF(MONATSBUDGET!$C$54="",0,MONATSBUDGET!$C$54)-SUM(F940:F959)-SUM(H940:H951))))</x:f>
      </x:c>
      <x:c r="I952" s="88" t="str">
        <x:f>IF(C952="","",MAX(0,ROUND(D952+E952-F952-G952-H952,2)))</x:f>
      </x:c>
      <x:c r="J952" s="88" t="str">
        <x:f>IF(C952="","",F952+G952+H952)</x:f>
      </x:c>
      <x:c r="K952" s="88" t="str">
        <x:f>IF(C952="","",MAX(0,SUMIFS(SONDERZAHLUNGEN!$E$9:$E$128,SONDERZAHLUNGEN!$B$9:$B$128,C952,SONDERZAHLUNGEN!$C$9:$C$128,A952,SONDERZAHLUNGEN!$H$9:$H$128,"OK",SONDERZAHLUNGEN!$F$9:$F$128,"Ja")-G952))</x:f>
      </x:c>
    </x:row>
    <x:row r="953" ht="19" customHeight="1">
      <x:c r="A953" s="90" t="n">
        <x:f>MONATSBUDGET!$A$54</x:f>
        <x:v>47635</x:v>
      </x:c>
      <x:c r="B953" t="n">
        <x:f>14</x:f>
        <x:v>14</x:v>
      </x:c>
      <x:c r="C953" t="str">
        <x:f>IF($N$22="","",$N$22)</x:f>
      </x:c>
      <x:c r="D953" s="88" t="str">
        <x:f>IF(C953="","",I933)</x:f>
      </x:c>
      <x:c r="E953" s="88" t="str">
        <x:f>IF(C953="","",ROUND(D953*$P$22/12,2))</x:f>
      </x:c>
      <x:c r="F953" s="88" t="str">
        <x:f>IF(C953="","",MIN(D953+E953,$Q$22))</x:f>
      </x:c>
      <x:c r="G953" s="88" t="str">
        <x:f>IF(C953="","",MIN(MAX(0,D953+E953-F953),SUMIFS(SONDERZAHLUNGEN!$E$9:$E$128,SONDERZAHLUNGEN!$B$9:$B$128,C953,SONDERZAHLUNGEN!$C$9:$C$128,A953,SONDERZAHLUNGEN!$H$9:$H$128,"OK",SONDERZAHLUNGEN!$F$9:$F$128,"Ja")))</x:f>
      </x:c>
      <x:c r="H953" s="88" t="str">
        <x:f>IF(C953="","",MIN(MAX(0,D953+E953-F953-G953),MAX(0,IF(MONATSBUDGET!$C$54="",0,MONATSBUDGET!$C$54)-SUM(F940:F959)-SUM(H940:H952))))</x:f>
      </x:c>
      <x:c r="I953" s="88" t="str">
        <x:f>IF(C953="","",MAX(0,ROUND(D953+E953-F953-G953-H953,2)))</x:f>
      </x:c>
      <x:c r="J953" s="88" t="str">
        <x:f>IF(C953="","",F953+G953+H953)</x:f>
      </x:c>
      <x:c r="K953" s="88" t="str">
        <x:f>IF(C953="","",MAX(0,SUMIFS(SONDERZAHLUNGEN!$E$9:$E$128,SONDERZAHLUNGEN!$B$9:$B$128,C953,SONDERZAHLUNGEN!$C$9:$C$128,A953,SONDERZAHLUNGEN!$H$9:$H$128,"OK",SONDERZAHLUNGEN!$F$9:$F$128,"Ja")-G953))</x:f>
      </x:c>
    </x:row>
    <x:row r="954" ht="19" customHeight="1">
      <x:c r="A954" s="90" t="n">
        <x:f>MONATSBUDGET!$A$54</x:f>
        <x:v>47635</x:v>
      </x:c>
      <x:c r="B954" t="n">
        <x:f>15</x:f>
        <x:v>15</x:v>
      </x:c>
      <x:c r="C954" t="str">
        <x:f>IF($N$23="","",$N$23)</x:f>
      </x:c>
      <x:c r="D954" s="88" t="str">
        <x:f>IF(C954="","",I934)</x:f>
      </x:c>
      <x:c r="E954" s="88" t="str">
        <x:f>IF(C954="","",ROUND(D954*$P$23/12,2))</x:f>
      </x:c>
      <x:c r="F954" s="88" t="str">
        <x:f>IF(C954="","",MIN(D954+E954,$Q$23))</x:f>
      </x:c>
      <x:c r="G954" s="88" t="str">
        <x:f>IF(C954="","",MIN(MAX(0,D954+E954-F954),SUMIFS(SONDERZAHLUNGEN!$E$9:$E$128,SONDERZAHLUNGEN!$B$9:$B$128,C954,SONDERZAHLUNGEN!$C$9:$C$128,A954,SONDERZAHLUNGEN!$H$9:$H$128,"OK",SONDERZAHLUNGEN!$F$9:$F$128,"Ja")))</x:f>
      </x:c>
      <x:c r="H954" s="88" t="str">
        <x:f>IF(C954="","",MIN(MAX(0,D954+E954-F954-G954),MAX(0,IF(MONATSBUDGET!$C$54="",0,MONATSBUDGET!$C$54)-SUM(F940:F959)-SUM(H940:H953))))</x:f>
      </x:c>
      <x:c r="I954" s="88" t="str">
        <x:f>IF(C954="","",MAX(0,ROUND(D954+E954-F954-G954-H954,2)))</x:f>
      </x:c>
      <x:c r="J954" s="88" t="str">
        <x:f>IF(C954="","",F954+G954+H954)</x:f>
      </x:c>
      <x:c r="K954" s="88" t="str">
        <x:f>IF(C954="","",MAX(0,SUMIFS(SONDERZAHLUNGEN!$E$9:$E$128,SONDERZAHLUNGEN!$B$9:$B$128,C954,SONDERZAHLUNGEN!$C$9:$C$128,A954,SONDERZAHLUNGEN!$H$9:$H$128,"OK",SONDERZAHLUNGEN!$F$9:$F$128,"Ja")-G954))</x:f>
      </x:c>
    </x:row>
    <x:row r="955" ht="19" customHeight="1">
      <x:c r="A955" s="90" t="n">
        <x:f>MONATSBUDGET!$A$54</x:f>
        <x:v>47635</x:v>
      </x:c>
      <x:c r="B955" t="n">
        <x:f>16</x:f>
        <x:v>16</x:v>
      </x:c>
      <x:c r="C955" t="str">
        <x:f>IF($N$24="","",$N$24)</x:f>
      </x:c>
      <x:c r="D955" s="88" t="str">
        <x:f>IF(C955="","",I935)</x:f>
      </x:c>
      <x:c r="E955" s="88" t="str">
        <x:f>IF(C955="","",ROUND(D955*$P$24/12,2))</x:f>
      </x:c>
      <x:c r="F955" s="88" t="str">
        <x:f>IF(C955="","",MIN(D955+E955,$Q$24))</x:f>
      </x:c>
      <x:c r="G955" s="88" t="str">
        <x:f>IF(C955="","",MIN(MAX(0,D955+E955-F955),SUMIFS(SONDERZAHLUNGEN!$E$9:$E$128,SONDERZAHLUNGEN!$B$9:$B$128,C955,SONDERZAHLUNGEN!$C$9:$C$128,A955,SONDERZAHLUNGEN!$H$9:$H$128,"OK",SONDERZAHLUNGEN!$F$9:$F$128,"Ja")))</x:f>
      </x:c>
      <x:c r="H955" s="88" t="str">
        <x:f>IF(C955="","",MIN(MAX(0,D955+E955-F955-G955),MAX(0,IF(MONATSBUDGET!$C$54="",0,MONATSBUDGET!$C$54)-SUM(F940:F959)-SUM(H940:H954))))</x:f>
      </x:c>
      <x:c r="I955" s="88" t="str">
        <x:f>IF(C955="","",MAX(0,ROUND(D955+E955-F955-G955-H955,2)))</x:f>
      </x:c>
      <x:c r="J955" s="88" t="str">
        <x:f>IF(C955="","",F955+G955+H955)</x:f>
      </x:c>
      <x:c r="K955" s="88" t="str">
        <x:f>IF(C955="","",MAX(0,SUMIFS(SONDERZAHLUNGEN!$E$9:$E$128,SONDERZAHLUNGEN!$B$9:$B$128,C955,SONDERZAHLUNGEN!$C$9:$C$128,A955,SONDERZAHLUNGEN!$H$9:$H$128,"OK",SONDERZAHLUNGEN!$F$9:$F$128,"Ja")-G955))</x:f>
      </x:c>
    </x:row>
    <x:row r="956" ht="19" customHeight="1">
      <x:c r="A956" s="90" t="n">
        <x:f>MONATSBUDGET!$A$54</x:f>
        <x:v>47635</x:v>
      </x:c>
      <x:c r="B956" t="n">
        <x:f>17</x:f>
        <x:v>17</x:v>
      </x:c>
      <x:c r="C956" t="str">
        <x:f>IF($N$25="","",$N$25)</x:f>
      </x:c>
      <x:c r="D956" s="88" t="str">
        <x:f>IF(C956="","",I936)</x:f>
      </x:c>
      <x:c r="E956" s="88" t="str">
        <x:f>IF(C956="","",ROUND(D956*$P$25/12,2))</x:f>
      </x:c>
      <x:c r="F956" s="88" t="str">
        <x:f>IF(C956="","",MIN(D956+E956,$Q$25))</x:f>
      </x:c>
      <x:c r="G956" s="88" t="str">
        <x:f>IF(C956="","",MIN(MAX(0,D956+E956-F956),SUMIFS(SONDERZAHLUNGEN!$E$9:$E$128,SONDERZAHLUNGEN!$B$9:$B$128,C956,SONDERZAHLUNGEN!$C$9:$C$128,A956,SONDERZAHLUNGEN!$H$9:$H$128,"OK",SONDERZAHLUNGEN!$F$9:$F$128,"Ja")))</x:f>
      </x:c>
      <x:c r="H956" s="88" t="str">
        <x:f>IF(C956="","",MIN(MAX(0,D956+E956-F956-G956),MAX(0,IF(MONATSBUDGET!$C$54="",0,MONATSBUDGET!$C$54)-SUM(F940:F959)-SUM(H940:H955))))</x:f>
      </x:c>
      <x:c r="I956" s="88" t="str">
        <x:f>IF(C956="","",MAX(0,ROUND(D956+E956-F956-G956-H956,2)))</x:f>
      </x:c>
      <x:c r="J956" s="88" t="str">
        <x:f>IF(C956="","",F956+G956+H956)</x:f>
      </x:c>
      <x:c r="K956" s="88" t="str">
        <x:f>IF(C956="","",MAX(0,SUMIFS(SONDERZAHLUNGEN!$E$9:$E$128,SONDERZAHLUNGEN!$B$9:$B$128,C956,SONDERZAHLUNGEN!$C$9:$C$128,A956,SONDERZAHLUNGEN!$H$9:$H$128,"OK",SONDERZAHLUNGEN!$F$9:$F$128,"Ja")-G956))</x:f>
      </x:c>
    </x:row>
    <x:row r="957" ht="19" customHeight="1">
      <x:c r="A957" s="90" t="n">
        <x:f>MONATSBUDGET!$A$54</x:f>
        <x:v>47635</x:v>
      </x:c>
      <x:c r="B957" t="n">
        <x:f>18</x:f>
        <x:v>18</x:v>
      </x:c>
      <x:c r="C957" t="str">
        <x:f>IF($N$26="","",$N$26)</x:f>
      </x:c>
      <x:c r="D957" s="88" t="str">
        <x:f>IF(C957="","",I937)</x:f>
      </x:c>
      <x:c r="E957" s="88" t="str">
        <x:f>IF(C957="","",ROUND(D957*$P$26/12,2))</x:f>
      </x:c>
      <x:c r="F957" s="88" t="str">
        <x:f>IF(C957="","",MIN(D957+E957,$Q$26))</x:f>
      </x:c>
      <x:c r="G957" s="88" t="str">
        <x:f>IF(C957="","",MIN(MAX(0,D957+E957-F957),SUMIFS(SONDERZAHLUNGEN!$E$9:$E$128,SONDERZAHLUNGEN!$B$9:$B$128,C957,SONDERZAHLUNGEN!$C$9:$C$128,A957,SONDERZAHLUNGEN!$H$9:$H$128,"OK",SONDERZAHLUNGEN!$F$9:$F$128,"Ja")))</x:f>
      </x:c>
      <x:c r="H957" s="88" t="str">
        <x:f>IF(C957="","",MIN(MAX(0,D957+E957-F957-G957),MAX(0,IF(MONATSBUDGET!$C$54="",0,MONATSBUDGET!$C$54)-SUM(F940:F959)-SUM(H940:H956))))</x:f>
      </x:c>
      <x:c r="I957" s="88" t="str">
        <x:f>IF(C957="","",MAX(0,ROUND(D957+E957-F957-G957-H957,2)))</x:f>
      </x:c>
      <x:c r="J957" s="88" t="str">
        <x:f>IF(C957="","",F957+G957+H957)</x:f>
      </x:c>
      <x:c r="K957" s="88" t="str">
        <x:f>IF(C957="","",MAX(0,SUMIFS(SONDERZAHLUNGEN!$E$9:$E$128,SONDERZAHLUNGEN!$B$9:$B$128,C957,SONDERZAHLUNGEN!$C$9:$C$128,A957,SONDERZAHLUNGEN!$H$9:$H$128,"OK",SONDERZAHLUNGEN!$F$9:$F$128,"Ja")-G957))</x:f>
      </x:c>
    </x:row>
    <x:row r="958" ht="19" customHeight="1">
      <x:c r="A958" s="90" t="n">
        <x:f>MONATSBUDGET!$A$54</x:f>
        <x:v>47635</x:v>
      </x:c>
      <x:c r="B958" t="n">
        <x:f>19</x:f>
        <x:v>19</x:v>
      </x:c>
      <x:c r="C958" t="str">
        <x:f>IF($N$27="","",$N$27)</x:f>
      </x:c>
      <x:c r="D958" s="88" t="str">
        <x:f>IF(C958="","",I938)</x:f>
      </x:c>
      <x:c r="E958" s="88" t="str">
        <x:f>IF(C958="","",ROUND(D958*$P$27/12,2))</x:f>
      </x:c>
      <x:c r="F958" s="88" t="str">
        <x:f>IF(C958="","",MIN(D958+E958,$Q$27))</x:f>
      </x:c>
      <x:c r="G958" s="88" t="str">
        <x:f>IF(C958="","",MIN(MAX(0,D958+E958-F958),SUMIFS(SONDERZAHLUNGEN!$E$9:$E$128,SONDERZAHLUNGEN!$B$9:$B$128,C958,SONDERZAHLUNGEN!$C$9:$C$128,A958,SONDERZAHLUNGEN!$H$9:$H$128,"OK",SONDERZAHLUNGEN!$F$9:$F$128,"Ja")))</x:f>
      </x:c>
      <x:c r="H958" s="88" t="str">
        <x:f>IF(C958="","",MIN(MAX(0,D958+E958-F958-G958),MAX(0,IF(MONATSBUDGET!$C$54="",0,MONATSBUDGET!$C$54)-SUM(F940:F959)-SUM(H940:H957))))</x:f>
      </x:c>
      <x:c r="I958" s="88" t="str">
        <x:f>IF(C958="","",MAX(0,ROUND(D958+E958-F958-G958-H958,2)))</x:f>
      </x:c>
      <x:c r="J958" s="88" t="str">
        <x:f>IF(C958="","",F958+G958+H958)</x:f>
      </x:c>
      <x:c r="K958" s="88" t="str">
        <x:f>IF(C958="","",MAX(0,SUMIFS(SONDERZAHLUNGEN!$E$9:$E$128,SONDERZAHLUNGEN!$B$9:$B$128,C958,SONDERZAHLUNGEN!$C$9:$C$128,A958,SONDERZAHLUNGEN!$H$9:$H$128,"OK",SONDERZAHLUNGEN!$F$9:$F$128,"Ja")-G958))</x:f>
      </x:c>
    </x:row>
    <x:row r="959" ht="19" customHeight="1">
      <x:c r="A959" s="90" t="n">
        <x:f>MONATSBUDGET!$A$54</x:f>
        <x:v>47635</x:v>
      </x:c>
      <x:c r="B959" t="n">
        <x:f>20</x:f>
        <x:v>20</x:v>
      </x:c>
      <x:c r="C959" t="str">
        <x:f>IF($N$28="","",$N$28)</x:f>
      </x:c>
      <x:c r="D959" s="88" t="str">
        <x:f>IF(C959="","",I939)</x:f>
      </x:c>
      <x:c r="E959" s="88" t="str">
        <x:f>IF(C959="","",ROUND(D959*$P$28/12,2))</x:f>
      </x:c>
      <x:c r="F959" s="88" t="str">
        <x:f>IF(C959="","",MIN(D959+E959,$Q$28))</x:f>
      </x:c>
      <x:c r="G959" s="88" t="str">
        <x:f>IF(C959="","",MIN(MAX(0,D959+E959-F959),SUMIFS(SONDERZAHLUNGEN!$E$9:$E$128,SONDERZAHLUNGEN!$B$9:$B$128,C959,SONDERZAHLUNGEN!$C$9:$C$128,A959,SONDERZAHLUNGEN!$H$9:$H$128,"OK",SONDERZAHLUNGEN!$F$9:$F$128,"Ja")))</x:f>
      </x:c>
      <x:c r="H959" s="88" t="str">
        <x:f>IF(C959="","",MIN(MAX(0,D959+E959-F959-G959),MAX(0,IF(MONATSBUDGET!$C$54="",0,MONATSBUDGET!$C$54)-SUM(F940:F959)-SUM(H940:H958))))</x:f>
      </x:c>
      <x:c r="I959" s="88" t="str">
        <x:f>IF(C959="","",MAX(0,ROUND(D959+E959-F959-G959-H959,2)))</x:f>
      </x:c>
      <x:c r="J959" s="88" t="str">
        <x:f>IF(C959="","",F959+G959+H959)</x:f>
      </x:c>
      <x:c r="K959" s="88" t="str">
        <x:f>IF(C959="","",MAX(0,SUMIFS(SONDERZAHLUNGEN!$E$9:$E$128,SONDERZAHLUNGEN!$B$9:$B$128,C959,SONDERZAHLUNGEN!$C$9:$C$128,A959,SONDERZAHLUNGEN!$H$9:$H$128,"OK",SONDERZAHLUNGEN!$F$9:$F$128,"Ja")-G959))</x:f>
      </x:c>
    </x:row>
    <x:row r="960" ht="19" customHeight="1">
      <x:c r="A960" s="90" t="n">
        <x:f>MONATSBUDGET!$A$55</x:f>
        <x:v>47665</x:v>
      </x:c>
      <x:c r="B960" t="n">
        <x:f>1</x:f>
        <x:v>1</x:v>
      </x:c>
      <x:c r="C960" t="str">
        <x:f>IF($N$9="","",$N$9)</x:f>
      </x:c>
      <x:c r="D960" s="88" t="str">
        <x:f>IF(C960="","",I940)</x:f>
      </x:c>
      <x:c r="E960" s="88" t="str">
        <x:f>IF(C960="","",ROUND(D960*$P$9/12,2))</x:f>
      </x:c>
      <x:c r="F960" s="88" t="str">
        <x:f>IF(C960="","",MIN(D960+E960,$Q$9))</x:f>
      </x:c>
      <x:c r="G960" s="88" t="str">
        <x:f>IF(C960="","",MIN(MAX(0,D960+E960-F960),SUMIFS(SONDERZAHLUNGEN!$E$9:$E$128,SONDERZAHLUNGEN!$B$9:$B$128,C960,SONDERZAHLUNGEN!$C$9:$C$128,A960,SONDERZAHLUNGEN!$H$9:$H$128,"OK",SONDERZAHLUNGEN!$F$9:$F$128,"Ja")))</x:f>
      </x:c>
      <x:c r="H960" s="88" t="str">
        <x:f>IF(C960="","",MIN(MAX(0,D960+E960-F960-G960),MAX(0,IF(MONATSBUDGET!$C$55="",0,MONATSBUDGET!$C$55)-SUM(F960:F979)-0)))</x:f>
      </x:c>
      <x:c r="I960" s="88" t="str">
        <x:f>IF(C960="","",MAX(0,ROUND(D960+E960-F960-G960-H960,2)))</x:f>
      </x:c>
      <x:c r="J960" s="88" t="str">
        <x:f>IF(C960="","",F960+G960+H960)</x:f>
      </x:c>
      <x:c r="K960" s="88" t="str">
        <x:f>IF(C960="","",MAX(0,SUMIFS(SONDERZAHLUNGEN!$E$9:$E$128,SONDERZAHLUNGEN!$B$9:$B$128,C960,SONDERZAHLUNGEN!$C$9:$C$128,A960,SONDERZAHLUNGEN!$H$9:$H$128,"OK",SONDERZAHLUNGEN!$F$9:$F$128,"Ja")-G960))</x:f>
      </x:c>
    </x:row>
    <x:row r="961" ht="19" customHeight="1">
      <x:c r="A961" s="90" t="n">
        <x:f>MONATSBUDGET!$A$55</x:f>
        <x:v>47665</x:v>
      </x:c>
      <x:c r="B961" t="n">
        <x:f>2</x:f>
        <x:v>2</x:v>
      </x:c>
      <x:c r="C961" t="str">
        <x:f>IF($N$10="","",$N$10)</x:f>
      </x:c>
      <x:c r="D961" s="88" t="str">
        <x:f>IF(C961="","",I941)</x:f>
      </x:c>
      <x:c r="E961" s="88" t="str">
        <x:f>IF(C961="","",ROUND(D961*$P$10/12,2))</x:f>
      </x:c>
      <x:c r="F961" s="88" t="str">
        <x:f>IF(C961="","",MIN(D961+E961,$Q$10))</x:f>
      </x:c>
      <x:c r="G961" s="88" t="str">
        <x:f>IF(C961="","",MIN(MAX(0,D961+E961-F961),SUMIFS(SONDERZAHLUNGEN!$E$9:$E$128,SONDERZAHLUNGEN!$B$9:$B$128,C961,SONDERZAHLUNGEN!$C$9:$C$128,A961,SONDERZAHLUNGEN!$H$9:$H$128,"OK",SONDERZAHLUNGEN!$F$9:$F$128,"Ja")))</x:f>
      </x:c>
      <x:c r="H961" s="88" t="str">
        <x:f>IF(C961="","",MIN(MAX(0,D961+E961-F961-G961),MAX(0,IF(MONATSBUDGET!$C$55="",0,MONATSBUDGET!$C$55)-SUM(F960:F979)-SUM(H960:H960))))</x:f>
      </x:c>
      <x:c r="I961" s="88" t="str">
        <x:f>IF(C961="","",MAX(0,ROUND(D961+E961-F961-G961-H961,2)))</x:f>
      </x:c>
      <x:c r="J961" s="88" t="str">
        <x:f>IF(C961="","",F961+G961+H961)</x:f>
      </x:c>
      <x:c r="K961" s="88" t="str">
        <x:f>IF(C961="","",MAX(0,SUMIFS(SONDERZAHLUNGEN!$E$9:$E$128,SONDERZAHLUNGEN!$B$9:$B$128,C961,SONDERZAHLUNGEN!$C$9:$C$128,A961,SONDERZAHLUNGEN!$H$9:$H$128,"OK",SONDERZAHLUNGEN!$F$9:$F$128,"Ja")-G961))</x:f>
      </x:c>
    </x:row>
    <x:row r="962" ht="19" customHeight="1">
      <x:c r="A962" s="90" t="n">
        <x:f>MONATSBUDGET!$A$55</x:f>
        <x:v>47665</x:v>
      </x:c>
      <x:c r="B962" t="n">
        <x:f>3</x:f>
        <x:v>3</x:v>
      </x:c>
      <x:c r="C962" t="str">
        <x:f>IF($N$11="","",$N$11)</x:f>
      </x:c>
      <x:c r="D962" s="88" t="str">
        <x:f>IF(C962="","",I942)</x:f>
      </x:c>
      <x:c r="E962" s="88" t="str">
        <x:f>IF(C962="","",ROUND(D962*$P$11/12,2))</x:f>
      </x:c>
      <x:c r="F962" s="88" t="str">
        <x:f>IF(C962="","",MIN(D962+E962,$Q$11))</x:f>
      </x:c>
      <x:c r="G962" s="88" t="str">
        <x:f>IF(C962="","",MIN(MAX(0,D962+E962-F962),SUMIFS(SONDERZAHLUNGEN!$E$9:$E$128,SONDERZAHLUNGEN!$B$9:$B$128,C962,SONDERZAHLUNGEN!$C$9:$C$128,A962,SONDERZAHLUNGEN!$H$9:$H$128,"OK",SONDERZAHLUNGEN!$F$9:$F$128,"Ja")))</x:f>
      </x:c>
      <x:c r="H962" s="88" t="str">
        <x:f>IF(C962="","",MIN(MAX(0,D962+E962-F962-G962),MAX(0,IF(MONATSBUDGET!$C$55="",0,MONATSBUDGET!$C$55)-SUM(F960:F979)-SUM(H960:H961))))</x:f>
      </x:c>
      <x:c r="I962" s="88" t="str">
        <x:f>IF(C962="","",MAX(0,ROUND(D962+E962-F962-G962-H962,2)))</x:f>
      </x:c>
      <x:c r="J962" s="88" t="str">
        <x:f>IF(C962="","",F962+G962+H962)</x:f>
      </x:c>
      <x:c r="K962" s="88" t="str">
        <x:f>IF(C962="","",MAX(0,SUMIFS(SONDERZAHLUNGEN!$E$9:$E$128,SONDERZAHLUNGEN!$B$9:$B$128,C962,SONDERZAHLUNGEN!$C$9:$C$128,A962,SONDERZAHLUNGEN!$H$9:$H$128,"OK",SONDERZAHLUNGEN!$F$9:$F$128,"Ja")-G962))</x:f>
      </x:c>
    </x:row>
    <x:row r="963" ht="19" customHeight="1">
      <x:c r="A963" s="90" t="n">
        <x:f>MONATSBUDGET!$A$55</x:f>
        <x:v>47665</x:v>
      </x:c>
      <x:c r="B963" t="n">
        <x:f>4</x:f>
        <x:v>4</x:v>
      </x:c>
      <x:c r="C963" t="str">
        <x:f>IF($N$12="","",$N$12)</x:f>
      </x:c>
      <x:c r="D963" s="88" t="str">
        <x:f>IF(C963="","",I943)</x:f>
      </x:c>
      <x:c r="E963" s="88" t="str">
        <x:f>IF(C963="","",ROUND(D963*$P$12/12,2))</x:f>
      </x:c>
      <x:c r="F963" s="88" t="str">
        <x:f>IF(C963="","",MIN(D963+E963,$Q$12))</x:f>
      </x:c>
      <x:c r="G963" s="88" t="str">
        <x:f>IF(C963="","",MIN(MAX(0,D963+E963-F963),SUMIFS(SONDERZAHLUNGEN!$E$9:$E$128,SONDERZAHLUNGEN!$B$9:$B$128,C963,SONDERZAHLUNGEN!$C$9:$C$128,A963,SONDERZAHLUNGEN!$H$9:$H$128,"OK",SONDERZAHLUNGEN!$F$9:$F$128,"Ja")))</x:f>
      </x:c>
      <x:c r="H963" s="88" t="str">
        <x:f>IF(C963="","",MIN(MAX(0,D963+E963-F963-G963),MAX(0,IF(MONATSBUDGET!$C$55="",0,MONATSBUDGET!$C$55)-SUM(F960:F979)-SUM(H960:H962))))</x:f>
      </x:c>
      <x:c r="I963" s="88" t="str">
        <x:f>IF(C963="","",MAX(0,ROUND(D963+E963-F963-G963-H963,2)))</x:f>
      </x:c>
      <x:c r="J963" s="88" t="str">
        <x:f>IF(C963="","",F963+G963+H963)</x:f>
      </x:c>
      <x:c r="K963" s="88" t="str">
        <x:f>IF(C963="","",MAX(0,SUMIFS(SONDERZAHLUNGEN!$E$9:$E$128,SONDERZAHLUNGEN!$B$9:$B$128,C963,SONDERZAHLUNGEN!$C$9:$C$128,A963,SONDERZAHLUNGEN!$H$9:$H$128,"OK",SONDERZAHLUNGEN!$F$9:$F$128,"Ja")-G963))</x:f>
      </x:c>
    </x:row>
    <x:row r="964" ht="19" customHeight="1">
      <x:c r="A964" s="90" t="n">
        <x:f>MONATSBUDGET!$A$55</x:f>
        <x:v>47665</x:v>
      </x:c>
      <x:c r="B964" t="n">
        <x:f>5</x:f>
        <x:v>5</x:v>
      </x:c>
      <x:c r="C964" t="str">
        <x:f>IF($N$13="","",$N$13)</x:f>
      </x:c>
      <x:c r="D964" s="88" t="str">
        <x:f>IF(C964="","",I944)</x:f>
      </x:c>
      <x:c r="E964" s="88" t="str">
        <x:f>IF(C964="","",ROUND(D964*$P$13/12,2))</x:f>
      </x:c>
      <x:c r="F964" s="88" t="str">
        <x:f>IF(C964="","",MIN(D964+E964,$Q$13))</x:f>
      </x:c>
      <x:c r="G964" s="88" t="str">
        <x:f>IF(C964="","",MIN(MAX(0,D964+E964-F964),SUMIFS(SONDERZAHLUNGEN!$E$9:$E$128,SONDERZAHLUNGEN!$B$9:$B$128,C964,SONDERZAHLUNGEN!$C$9:$C$128,A964,SONDERZAHLUNGEN!$H$9:$H$128,"OK",SONDERZAHLUNGEN!$F$9:$F$128,"Ja")))</x:f>
      </x:c>
      <x:c r="H964" s="88" t="str">
        <x:f>IF(C964="","",MIN(MAX(0,D964+E964-F964-G964),MAX(0,IF(MONATSBUDGET!$C$55="",0,MONATSBUDGET!$C$55)-SUM(F960:F979)-SUM(H960:H963))))</x:f>
      </x:c>
      <x:c r="I964" s="88" t="str">
        <x:f>IF(C964="","",MAX(0,ROUND(D964+E964-F964-G964-H964,2)))</x:f>
      </x:c>
      <x:c r="J964" s="88" t="str">
        <x:f>IF(C964="","",F964+G964+H964)</x:f>
      </x:c>
      <x:c r="K964" s="88" t="str">
        <x:f>IF(C964="","",MAX(0,SUMIFS(SONDERZAHLUNGEN!$E$9:$E$128,SONDERZAHLUNGEN!$B$9:$B$128,C964,SONDERZAHLUNGEN!$C$9:$C$128,A964,SONDERZAHLUNGEN!$H$9:$H$128,"OK",SONDERZAHLUNGEN!$F$9:$F$128,"Ja")-G964))</x:f>
      </x:c>
    </x:row>
    <x:row r="965" ht="19" customHeight="1">
      <x:c r="A965" s="90" t="n">
        <x:f>MONATSBUDGET!$A$55</x:f>
        <x:v>47665</x:v>
      </x:c>
      <x:c r="B965" t="n">
        <x:f>6</x:f>
        <x:v>6</x:v>
      </x:c>
      <x:c r="C965" t="str">
        <x:f>IF($N$14="","",$N$14)</x:f>
      </x:c>
      <x:c r="D965" s="88" t="str">
        <x:f>IF(C965="","",I945)</x:f>
      </x:c>
      <x:c r="E965" s="88" t="str">
        <x:f>IF(C965="","",ROUND(D965*$P$14/12,2))</x:f>
      </x:c>
      <x:c r="F965" s="88" t="str">
        <x:f>IF(C965="","",MIN(D965+E965,$Q$14))</x:f>
      </x:c>
      <x:c r="G965" s="88" t="str">
        <x:f>IF(C965="","",MIN(MAX(0,D965+E965-F965),SUMIFS(SONDERZAHLUNGEN!$E$9:$E$128,SONDERZAHLUNGEN!$B$9:$B$128,C965,SONDERZAHLUNGEN!$C$9:$C$128,A965,SONDERZAHLUNGEN!$H$9:$H$128,"OK",SONDERZAHLUNGEN!$F$9:$F$128,"Ja")))</x:f>
      </x:c>
      <x:c r="H965" s="88" t="str">
        <x:f>IF(C965="","",MIN(MAX(0,D965+E965-F965-G965),MAX(0,IF(MONATSBUDGET!$C$55="",0,MONATSBUDGET!$C$55)-SUM(F960:F979)-SUM(H960:H964))))</x:f>
      </x:c>
      <x:c r="I965" s="88" t="str">
        <x:f>IF(C965="","",MAX(0,ROUND(D965+E965-F965-G965-H965,2)))</x:f>
      </x:c>
      <x:c r="J965" s="88" t="str">
        <x:f>IF(C965="","",F965+G965+H965)</x:f>
      </x:c>
      <x:c r="K965" s="88" t="str">
        <x:f>IF(C965="","",MAX(0,SUMIFS(SONDERZAHLUNGEN!$E$9:$E$128,SONDERZAHLUNGEN!$B$9:$B$128,C965,SONDERZAHLUNGEN!$C$9:$C$128,A965,SONDERZAHLUNGEN!$H$9:$H$128,"OK",SONDERZAHLUNGEN!$F$9:$F$128,"Ja")-G965))</x:f>
      </x:c>
    </x:row>
    <x:row r="966" ht="19" customHeight="1">
      <x:c r="A966" s="90" t="n">
        <x:f>MONATSBUDGET!$A$55</x:f>
        <x:v>47665</x:v>
      </x:c>
      <x:c r="B966" t="n">
        <x:f>7</x:f>
        <x:v>7</x:v>
      </x:c>
      <x:c r="C966" t="str">
        <x:f>IF($N$15="","",$N$15)</x:f>
      </x:c>
      <x:c r="D966" s="88" t="str">
        <x:f>IF(C966="","",I946)</x:f>
      </x:c>
      <x:c r="E966" s="88" t="str">
        <x:f>IF(C966="","",ROUND(D966*$P$15/12,2))</x:f>
      </x:c>
      <x:c r="F966" s="88" t="str">
        <x:f>IF(C966="","",MIN(D966+E966,$Q$15))</x:f>
      </x:c>
      <x:c r="G966" s="88" t="str">
        <x:f>IF(C966="","",MIN(MAX(0,D966+E966-F966),SUMIFS(SONDERZAHLUNGEN!$E$9:$E$128,SONDERZAHLUNGEN!$B$9:$B$128,C966,SONDERZAHLUNGEN!$C$9:$C$128,A966,SONDERZAHLUNGEN!$H$9:$H$128,"OK",SONDERZAHLUNGEN!$F$9:$F$128,"Ja")))</x:f>
      </x:c>
      <x:c r="H966" s="88" t="str">
        <x:f>IF(C966="","",MIN(MAX(0,D966+E966-F966-G966),MAX(0,IF(MONATSBUDGET!$C$55="",0,MONATSBUDGET!$C$55)-SUM(F960:F979)-SUM(H960:H965))))</x:f>
      </x:c>
      <x:c r="I966" s="88" t="str">
        <x:f>IF(C966="","",MAX(0,ROUND(D966+E966-F966-G966-H966,2)))</x:f>
      </x:c>
      <x:c r="J966" s="88" t="str">
        <x:f>IF(C966="","",F966+G966+H966)</x:f>
      </x:c>
      <x:c r="K966" s="88" t="str">
        <x:f>IF(C966="","",MAX(0,SUMIFS(SONDERZAHLUNGEN!$E$9:$E$128,SONDERZAHLUNGEN!$B$9:$B$128,C966,SONDERZAHLUNGEN!$C$9:$C$128,A966,SONDERZAHLUNGEN!$H$9:$H$128,"OK",SONDERZAHLUNGEN!$F$9:$F$128,"Ja")-G966))</x:f>
      </x:c>
    </x:row>
    <x:row r="967" ht="19" customHeight="1">
      <x:c r="A967" s="90" t="n">
        <x:f>MONATSBUDGET!$A$55</x:f>
        <x:v>47665</x:v>
      </x:c>
      <x:c r="B967" t="n">
        <x:f>8</x:f>
        <x:v>8</x:v>
      </x:c>
      <x:c r="C967" t="str">
        <x:f>IF($N$16="","",$N$16)</x:f>
      </x:c>
      <x:c r="D967" s="88" t="str">
        <x:f>IF(C967="","",I947)</x:f>
      </x:c>
      <x:c r="E967" s="88" t="str">
        <x:f>IF(C967="","",ROUND(D967*$P$16/12,2))</x:f>
      </x:c>
      <x:c r="F967" s="88" t="str">
        <x:f>IF(C967="","",MIN(D967+E967,$Q$16))</x:f>
      </x:c>
      <x:c r="G967" s="88" t="str">
        <x:f>IF(C967="","",MIN(MAX(0,D967+E967-F967),SUMIFS(SONDERZAHLUNGEN!$E$9:$E$128,SONDERZAHLUNGEN!$B$9:$B$128,C967,SONDERZAHLUNGEN!$C$9:$C$128,A967,SONDERZAHLUNGEN!$H$9:$H$128,"OK",SONDERZAHLUNGEN!$F$9:$F$128,"Ja")))</x:f>
      </x:c>
      <x:c r="H967" s="88" t="str">
        <x:f>IF(C967="","",MIN(MAX(0,D967+E967-F967-G967),MAX(0,IF(MONATSBUDGET!$C$55="",0,MONATSBUDGET!$C$55)-SUM(F960:F979)-SUM(H960:H966))))</x:f>
      </x:c>
      <x:c r="I967" s="88" t="str">
        <x:f>IF(C967="","",MAX(0,ROUND(D967+E967-F967-G967-H967,2)))</x:f>
      </x:c>
      <x:c r="J967" s="88" t="str">
        <x:f>IF(C967="","",F967+G967+H967)</x:f>
      </x:c>
      <x:c r="K967" s="88" t="str">
        <x:f>IF(C967="","",MAX(0,SUMIFS(SONDERZAHLUNGEN!$E$9:$E$128,SONDERZAHLUNGEN!$B$9:$B$128,C967,SONDERZAHLUNGEN!$C$9:$C$128,A967,SONDERZAHLUNGEN!$H$9:$H$128,"OK",SONDERZAHLUNGEN!$F$9:$F$128,"Ja")-G967))</x:f>
      </x:c>
    </x:row>
    <x:row r="968" ht="19" customHeight="1">
      <x:c r="A968" s="90" t="n">
        <x:f>MONATSBUDGET!$A$55</x:f>
        <x:v>47665</x:v>
      </x:c>
      <x:c r="B968" t="n">
        <x:f>9</x:f>
        <x:v>9</x:v>
      </x:c>
      <x:c r="C968" t="str">
        <x:f>IF($N$17="","",$N$17)</x:f>
      </x:c>
      <x:c r="D968" s="88" t="str">
        <x:f>IF(C968="","",I948)</x:f>
      </x:c>
      <x:c r="E968" s="88" t="str">
        <x:f>IF(C968="","",ROUND(D968*$P$17/12,2))</x:f>
      </x:c>
      <x:c r="F968" s="88" t="str">
        <x:f>IF(C968="","",MIN(D968+E968,$Q$17))</x:f>
      </x:c>
      <x:c r="G968" s="88" t="str">
        <x:f>IF(C968="","",MIN(MAX(0,D968+E968-F968),SUMIFS(SONDERZAHLUNGEN!$E$9:$E$128,SONDERZAHLUNGEN!$B$9:$B$128,C968,SONDERZAHLUNGEN!$C$9:$C$128,A968,SONDERZAHLUNGEN!$H$9:$H$128,"OK",SONDERZAHLUNGEN!$F$9:$F$128,"Ja")))</x:f>
      </x:c>
      <x:c r="H968" s="88" t="str">
        <x:f>IF(C968="","",MIN(MAX(0,D968+E968-F968-G968),MAX(0,IF(MONATSBUDGET!$C$55="",0,MONATSBUDGET!$C$55)-SUM(F960:F979)-SUM(H960:H967))))</x:f>
      </x:c>
      <x:c r="I968" s="88" t="str">
        <x:f>IF(C968="","",MAX(0,ROUND(D968+E968-F968-G968-H968,2)))</x:f>
      </x:c>
      <x:c r="J968" s="88" t="str">
        <x:f>IF(C968="","",F968+G968+H968)</x:f>
      </x:c>
      <x:c r="K968" s="88" t="str">
        <x:f>IF(C968="","",MAX(0,SUMIFS(SONDERZAHLUNGEN!$E$9:$E$128,SONDERZAHLUNGEN!$B$9:$B$128,C968,SONDERZAHLUNGEN!$C$9:$C$128,A968,SONDERZAHLUNGEN!$H$9:$H$128,"OK",SONDERZAHLUNGEN!$F$9:$F$128,"Ja")-G968))</x:f>
      </x:c>
    </x:row>
    <x:row r="969" ht="19" customHeight="1">
      <x:c r="A969" s="90" t="n">
        <x:f>MONATSBUDGET!$A$55</x:f>
        <x:v>47665</x:v>
      </x:c>
      <x:c r="B969" t="n">
        <x:f>10</x:f>
        <x:v>10</x:v>
      </x:c>
      <x:c r="C969" t="str">
        <x:f>IF($N$18="","",$N$18)</x:f>
      </x:c>
      <x:c r="D969" s="88" t="str">
        <x:f>IF(C969="","",I949)</x:f>
      </x:c>
      <x:c r="E969" s="88" t="str">
        <x:f>IF(C969="","",ROUND(D969*$P$18/12,2))</x:f>
      </x:c>
      <x:c r="F969" s="88" t="str">
        <x:f>IF(C969="","",MIN(D969+E969,$Q$18))</x:f>
      </x:c>
      <x:c r="G969" s="88" t="str">
        <x:f>IF(C969="","",MIN(MAX(0,D969+E969-F969),SUMIFS(SONDERZAHLUNGEN!$E$9:$E$128,SONDERZAHLUNGEN!$B$9:$B$128,C969,SONDERZAHLUNGEN!$C$9:$C$128,A969,SONDERZAHLUNGEN!$H$9:$H$128,"OK",SONDERZAHLUNGEN!$F$9:$F$128,"Ja")))</x:f>
      </x:c>
      <x:c r="H969" s="88" t="str">
        <x:f>IF(C969="","",MIN(MAX(0,D969+E969-F969-G969),MAX(0,IF(MONATSBUDGET!$C$55="",0,MONATSBUDGET!$C$55)-SUM(F960:F979)-SUM(H960:H968))))</x:f>
      </x:c>
      <x:c r="I969" s="88" t="str">
        <x:f>IF(C969="","",MAX(0,ROUND(D969+E969-F969-G969-H969,2)))</x:f>
      </x:c>
      <x:c r="J969" s="88" t="str">
        <x:f>IF(C969="","",F969+G969+H969)</x:f>
      </x:c>
      <x:c r="K969" s="88" t="str">
        <x:f>IF(C969="","",MAX(0,SUMIFS(SONDERZAHLUNGEN!$E$9:$E$128,SONDERZAHLUNGEN!$B$9:$B$128,C969,SONDERZAHLUNGEN!$C$9:$C$128,A969,SONDERZAHLUNGEN!$H$9:$H$128,"OK",SONDERZAHLUNGEN!$F$9:$F$128,"Ja")-G969))</x:f>
      </x:c>
    </x:row>
    <x:row r="970" ht="19" customHeight="1">
      <x:c r="A970" s="90" t="n">
        <x:f>MONATSBUDGET!$A$55</x:f>
        <x:v>47665</x:v>
      </x:c>
      <x:c r="B970" t="n">
        <x:f>11</x:f>
        <x:v>11</x:v>
      </x:c>
      <x:c r="C970" t="str">
        <x:f>IF($N$19="","",$N$19)</x:f>
      </x:c>
      <x:c r="D970" s="88" t="str">
        <x:f>IF(C970="","",I950)</x:f>
      </x:c>
      <x:c r="E970" s="88" t="str">
        <x:f>IF(C970="","",ROUND(D970*$P$19/12,2))</x:f>
      </x:c>
      <x:c r="F970" s="88" t="str">
        <x:f>IF(C970="","",MIN(D970+E970,$Q$19))</x:f>
      </x:c>
      <x:c r="G970" s="88" t="str">
        <x:f>IF(C970="","",MIN(MAX(0,D970+E970-F970),SUMIFS(SONDERZAHLUNGEN!$E$9:$E$128,SONDERZAHLUNGEN!$B$9:$B$128,C970,SONDERZAHLUNGEN!$C$9:$C$128,A970,SONDERZAHLUNGEN!$H$9:$H$128,"OK",SONDERZAHLUNGEN!$F$9:$F$128,"Ja")))</x:f>
      </x:c>
      <x:c r="H970" s="88" t="str">
        <x:f>IF(C970="","",MIN(MAX(0,D970+E970-F970-G970),MAX(0,IF(MONATSBUDGET!$C$55="",0,MONATSBUDGET!$C$55)-SUM(F960:F979)-SUM(H960:H969))))</x:f>
      </x:c>
      <x:c r="I970" s="88" t="str">
        <x:f>IF(C970="","",MAX(0,ROUND(D970+E970-F970-G970-H970,2)))</x:f>
      </x:c>
      <x:c r="J970" s="88" t="str">
        <x:f>IF(C970="","",F970+G970+H970)</x:f>
      </x:c>
      <x:c r="K970" s="88" t="str">
        <x:f>IF(C970="","",MAX(0,SUMIFS(SONDERZAHLUNGEN!$E$9:$E$128,SONDERZAHLUNGEN!$B$9:$B$128,C970,SONDERZAHLUNGEN!$C$9:$C$128,A970,SONDERZAHLUNGEN!$H$9:$H$128,"OK",SONDERZAHLUNGEN!$F$9:$F$128,"Ja")-G970))</x:f>
      </x:c>
    </x:row>
    <x:row r="971" ht="19" customHeight="1">
      <x:c r="A971" s="90" t="n">
        <x:f>MONATSBUDGET!$A$55</x:f>
        <x:v>47665</x:v>
      </x:c>
      <x:c r="B971" t="n">
        <x:f>12</x:f>
        <x:v>12</x:v>
      </x:c>
      <x:c r="C971" t="str">
        <x:f>IF($N$20="","",$N$20)</x:f>
      </x:c>
      <x:c r="D971" s="88" t="str">
        <x:f>IF(C971="","",I951)</x:f>
      </x:c>
      <x:c r="E971" s="88" t="str">
        <x:f>IF(C971="","",ROUND(D971*$P$20/12,2))</x:f>
      </x:c>
      <x:c r="F971" s="88" t="str">
        <x:f>IF(C971="","",MIN(D971+E971,$Q$20))</x:f>
      </x:c>
      <x:c r="G971" s="88" t="str">
        <x:f>IF(C971="","",MIN(MAX(0,D971+E971-F971),SUMIFS(SONDERZAHLUNGEN!$E$9:$E$128,SONDERZAHLUNGEN!$B$9:$B$128,C971,SONDERZAHLUNGEN!$C$9:$C$128,A971,SONDERZAHLUNGEN!$H$9:$H$128,"OK",SONDERZAHLUNGEN!$F$9:$F$128,"Ja")))</x:f>
      </x:c>
      <x:c r="H971" s="88" t="str">
        <x:f>IF(C971="","",MIN(MAX(0,D971+E971-F971-G971),MAX(0,IF(MONATSBUDGET!$C$55="",0,MONATSBUDGET!$C$55)-SUM(F960:F979)-SUM(H960:H970))))</x:f>
      </x:c>
      <x:c r="I971" s="88" t="str">
        <x:f>IF(C971="","",MAX(0,ROUND(D971+E971-F971-G971-H971,2)))</x:f>
      </x:c>
      <x:c r="J971" s="88" t="str">
        <x:f>IF(C971="","",F971+G971+H971)</x:f>
      </x:c>
      <x:c r="K971" s="88" t="str">
        <x:f>IF(C971="","",MAX(0,SUMIFS(SONDERZAHLUNGEN!$E$9:$E$128,SONDERZAHLUNGEN!$B$9:$B$128,C971,SONDERZAHLUNGEN!$C$9:$C$128,A971,SONDERZAHLUNGEN!$H$9:$H$128,"OK",SONDERZAHLUNGEN!$F$9:$F$128,"Ja")-G971))</x:f>
      </x:c>
    </x:row>
    <x:row r="972" ht="19" customHeight="1">
      <x:c r="A972" s="90" t="n">
        <x:f>MONATSBUDGET!$A$55</x:f>
        <x:v>47665</x:v>
      </x:c>
      <x:c r="B972" t="n">
        <x:f>13</x:f>
        <x:v>13</x:v>
      </x:c>
      <x:c r="C972" t="str">
        <x:f>IF($N$21="","",$N$21)</x:f>
      </x:c>
      <x:c r="D972" s="88" t="str">
        <x:f>IF(C972="","",I952)</x:f>
      </x:c>
      <x:c r="E972" s="88" t="str">
        <x:f>IF(C972="","",ROUND(D972*$P$21/12,2))</x:f>
      </x:c>
      <x:c r="F972" s="88" t="str">
        <x:f>IF(C972="","",MIN(D972+E972,$Q$21))</x:f>
      </x:c>
      <x:c r="G972" s="88" t="str">
        <x:f>IF(C972="","",MIN(MAX(0,D972+E972-F972),SUMIFS(SONDERZAHLUNGEN!$E$9:$E$128,SONDERZAHLUNGEN!$B$9:$B$128,C972,SONDERZAHLUNGEN!$C$9:$C$128,A972,SONDERZAHLUNGEN!$H$9:$H$128,"OK",SONDERZAHLUNGEN!$F$9:$F$128,"Ja")))</x:f>
      </x:c>
      <x:c r="H972" s="88" t="str">
        <x:f>IF(C972="","",MIN(MAX(0,D972+E972-F972-G972),MAX(0,IF(MONATSBUDGET!$C$55="",0,MONATSBUDGET!$C$55)-SUM(F960:F979)-SUM(H960:H971))))</x:f>
      </x:c>
      <x:c r="I972" s="88" t="str">
        <x:f>IF(C972="","",MAX(0,ROUND(D972+E972-F972-G972-H972,2)))</x:f>
      </x:c>
      <x:c r="J972" s="88" t="str">
        <x:f>IF(C972="","",F972+G972+H972)</x:f>
      </x:c>
      <x:c r="K972" s="88" t="str">
        <x:f>IF(C972="","",MAX(0,SUMIFS(SONDERZAHLUNGEN!$E$9:$E$128,SONDERZAHLUNGEN!$B$9:$B$128,C972,SONDERZAHLUNGEN!$C$9:$C$128,A972,SONDERZAHLUNGEN!$H$9:$H$128,"OK",SONDERZAHLUNGEN!$F$9:$F$128,"Ja")-G972))</x:f>
      </x:c>
    </x:row>
    <x:row r="973" ht="19" customHeight="1">
      <x:c r="A973" s="90" t="n">
        <x:f>MONATSBUDGET!$A$55</x:f>
        <x:v>47665</x:v>
      </x:c>
      <x:c r="B973" t="n">
        <x:f>14</x:f>
        <x:v>14</x:v>
      </x:c>
      <x:c r="C973" t="str">
        <x:f>IF($N$22="","",$N$22)</x:f>
      </x:c>
      <x:c r="D973" s="88" t="str">
        <x:f>IF(C973="","",I953)</x:f>
      </x:c>
      <x:c r="E973" s="88" t="str">
        <x:f>IF(C973="","",ROUND(D973*$P$22/12,2))</x:f>
      </x:c>
      <x:c r="F973" s="88" t="str">
        <x:f>IF(C973="","",MIN(D973+E973,$Q$22))</x:f>
      </x:c>
      <x:c r="G973" s="88" t="str">
        <x:f>IF(C973="","",MIN(MAX(0,D973+E973-F973),SUMIFS(SONDERZAHLUNGEN!$E$9:$E$128,SONDERZAHLUNGEN!$B$9:$B$128,C973,SONDERZAHLUNGEN!$C$9:$C$128,A973,SONDERZAHLUNGEN!$H$9:$H$128,"OK",SONDERZAHLUNGEN!$F$9:$F$128,"Ja")))</x:f>
      </x:c>
      <x:c r="H973" s="88" t="str">
        <x:f>IF(C973="","",MIN(MAX(0,D973+E973-F973-G973),MAX(0,IF(MONATSBUDGET!$C$55="",0,MONATSBUDGET!$C$55)-SUM(F960:F979)-SUM(H960:H972))))</x:f>
      </x:c>
      <x:c r="I973" s="88" t="str">
        <x:f>IF(C973="","",MAX(0,ROUND(D973+E973-F973-G973-H973,2)))</x:f>
      </x:c>
      <x:c r="J973" s="88" t="str">
        <x:f>IF(C973="","",F973+G973+H973)</x:f>
      </x:c>
      <x:c r="K973" s="88" t="str">
        <x:f>IF(C973="","",MAX(0,SUMIFS(SONDERZAHLUNGEN!$E$9:$E$128,SONDERZAHLUNGEN!$B$9:$B$128,C973,SONDERZAHLUNGEN!$C$9:$C$128,A973,SONDERZAHLUNGEN!$H$9:$H$128,"OK",SONDERZAHLUNGEN!$F$9:$F$128,"Ja")-G973))</x:f>
      </x:c>
    </x:row>
    <x:row r="974" ht="19" customHeight="1">
      <x:c r="A974" s="90" t="n">
        <x:f>MONATSBUDGET!$A$55</x:f>
        <x:v>47665</x:v>
      </x:c>
      <x:c r="B974" t="n">
        <x:f>15</x:f>
        <x:v>15</x:v>
      </x:c>
      <x:c r="C974" t="str">
        <x:f>IF($N$23="","",$N$23)</x:f>
      </x:c>
      <x:c r="D974" s="88" t="str">
        <x:f>IF(C974="","",I954)</x:f>
      </x:c>
      <x:c r="E974" s="88" t="str">
        <x:f>IF(C974="","",ROUND(D974*$P$23/12,2))</x:f>
      </x:c>
      <x:c r="F974" s="88" t="str">
        <x:f>IF(C974="","",MIN(D974+E974,$Q$23))</x:f>
      </x:c>
      <x:c r="G974" s="88" t="str">
        <x:f>IF(C974="","",MIN(MAX(0,D974+E974-F974),SUMIFS(SONDERZAHLUNGEN!$E$9:$E$128,SONDERZAHLUNGEN!$B$9:$B$128,C974,SONDERZAHLUNGEN!$C$9:$C$128,A974,SONDERZAHLUNGEN!$H$9:$H$128,"OK",SONDERZAHLUNGEN!$F$9:$F$128,"Ja")))</x:f>
      </x:c>
      <x:c r="H974" s="88" t="str">
        <x:f>IF(C974="","",MIN(MAX(0,D974+E974-F974-G974),MAX(0,IF(MONATSBUDGET!$C$55="",0,MONATSBUDGET!$C$55)-SUM(F960:F979)-SUM(H960:H973))))</x:f>
      </x:c>
      <x:c r="I974" s="88" t="str">
        <x:f>IF(C974="","",MAX(0,ROUND(D974+E974-F974-G974-H974,2)))</x:f>
      </x:c>
      <x:c r="J974" s="88" t="str">
        <x:f>IF(C974="","",F974+G974+H974)</x:f>
      </x:c>
      <x:c r="K974" s="88" t="str">
        <x:f>IF(C974="","",MAX(0,SUMIFS(SONDERZAHLUNGEN!$E$9:$E$128,SONDERZAHLUNGEN!$B$9:$B$128,C974,SONDERZAHLUNGEN!$C$9:$C$128,A974,SONDERZAHLUNGEN!$H$9:$H$128,"OK",SONDERZAHLUNGEN!$F$9:$F$128,"Ja")-G974))</x:f>
      </x:c>
    </x:row>
    <x:row r="975" ht="19" customHeight="1">
      <x:c r="A975" s="90" t="n">
        <x:f>MONATSBUDGET!$A$55</x:f>
        <x:v>47665</x:v>
      </x:c>
      <x:c r="B975" t="n">
        <x:f>16</x:f>
        <x:v>16</x:v>
      </x:c>
      <x:c r="C975" t="str">
        <x:f>IF($N$24="","",$N$24)</x:f>
      </x:c>
      <x:c r="D975" s="88" t="str">
        <x:f>IF(C975="","",I955)</x:f>
      </x:c>
      <x:c r="E975" s="88" t="str">
        <x:f>IF(C975="","",ROUND(D975*$P$24/12,2))</x:f>
      </x:c>
      <x:c r="F975" s="88" t="str">
        <x:f>IF(C975="","",MIN(D975+E975,$Q$24))</x:f>
      </x:c>
      <x:c r="G975" s="88" t="str">
        <x:f>IF(C975="","",MIN(MAX(0,D975+E975-F975),SUMIFS(SONDERZAHLUNGEN!$E$9:$E$128,SONDERZAHLUNGEN!$B$9:$B$128,C975,SONDERZAHLUNGEN!$C$9:$C$128,A975,SONDERZAHLUNGEN!$H$9:$H$128,"OK",SONDERZAHLUNGEN!$F$9:$F$128,"Ja")))</x:f>
      </x:c>
      <x:c r="H975" s="88" t="str">
        <x:f>IF(C975="","",MIN(MAX(0,D975+E975-F975-G975),MAX(0,IF(MONATSBUDGET!$C$55="",0,MONATSBUDGET!$C$55)-SUM(F960:F979)-SUM(H960:H974))))</x:f>
      </x:c>
      <x:c r="I975" s="88" t="str">
        <x:f>IF(C975="","",MAX(0,ROUND(D975+E975-F975-G975-H975,2)))</x:f>
      </x:c>
      <x:c r="J975" s="88" t="str">
        <x:f>IF(C975="","",F975+G975+H975)</x:f>
      </x:c>
      <x:c r="K975" s="88" t="str">
        <x:f>IF(C975="","",MAX(0,SUMIFS(SONDERZAHLUNGEN!$E$9:$E$128,SONDERZAHLUNGEN!$B$9:$B$128,C975,SONDERZAHLUNGEN!$C$9:$C$128,A975,SONDERZAHLUNGEN!$H$9:$H$128,"OK",SONDERZAHLUNGEN!$F$9:$F$128,"Ja")-G975))</x:f>
      </x:c>
    </x:row>
    <x:row r="976" ht="19" customHeight="1">
      <x:c r="A976" s="90" t="n">
        <x:f>MONATSBUDGET!$A$55</x:f>
        <x:v>47665</x:v>
      </x:c>
      <x:c r="B976" t="n">
        <x:f>17</x:f>
        <x:v>17</x:v>
      </x:c>
      <x:c r="C976" t="str">
        <x:f>IF($N$25="","",$N$25)</x:f>
      </x:c>
      <x:c r="D976" s="88" t="str">
        <x:f>IF(C976="","",I956)</x:f>
      </x:c>
      <x:c r="E976" s="88" t="str">
        <x:f>IF(C976="","",ROUND(D976*$P$25/12,2))</x:f>
      </x:c>
      <x:c r="F976" s="88" t="str">
        <x:f>IF(C976="","",MIN(D976+E976,$Q$25))</x:f>
      </x:c>
      <x:c r="G976" s="88" t="str">
        <x:f>IF(C976="","",MIN(MAX(0,D976+E976-F976),SUMIFS(SONDERZAHLUNGEN!$E$9:$E$128,SONDERZAHLUNGEN!$B$9:$B$128,C976,SONDERZAHLUNGEN!$C$9:$C$128,A976,SONDERZAHLUNGEN!$H$9:$H$128,"OK",SONDERZAHLUNGEN!$F$9:$F$128,"Ja")))</x:f>
      </x:c>
      <x:c r="H976" s="88" t="str">
        <x:f>IF(C976="","",MIN(MAX(0,D976+E976-F976-G976),MAX(0,IF(MONATSBUDGET!$C$55="",0,MONATSBUDGET!$C$55)-SUM(F960:F979)-SUM(H960:H975))))</x:f>
      </x:c>
      <x:c r="I976" s="88" t="str">
        <x:f>IF(C976="","",MAX(0,ROUND(D976+E976-F976-G976-H976,2)))</x:f>
      </x:c>
      <x:c r="J976" s="88" t="str">
        <x:f>IF(C976="","",F976+G976+H976)</x:f>
      </x:c>
      <x:c r="K976" s="88" t="str">
        <x:f>IF(C976="","",MAX(0,SUMIFS(SONDERZAHLUNGEN!$E$9:$E$128,SONDERZAHLUNGEN!$B$9:$B$128,C976,SONDERZAHLUNGEN!$C$9:$C$128,A976,SONDERZAHLUNGEN!$H$9:$H$128,"OK",SONDERZAHLUNGEN!$F$9:$F$128,"Ja")-G976))</x:f>
      </x:c>
    </x:row>
    <x:row r="977" ht="19" customHeight="1">
      <x:c r="A977" s="90" t="n">
        <x:f>MONATSBUDGET!$A$55</x:f>
        <x:v>47665</x:v>
      </x:c>
      <x:c r="B977" t="n">
        <x:f>18</x:f>
        <x:v>18</x:v>
      </x:c>
      <x:c r="C977" t="str">
        <x:f>IF($N$26="","",$N$26)</x:f>
      </x:c>
      <x:c r="D977" s="88" t="str">
        <x:f>IF(C977="","",I957)</x:f>
      </x:c>
      <x:c r="E977" s="88" t="str">
        <x:f>IF(C977="","",ROUND(D977*$P$26/12,2))</x:f>
      </x:c>
      <x:c r="F977" s="88" t="str">
        <x:f>IF(C977="","",MIN(D977+E977,$Q$26))</x:f>
      </x:c>
      <x:c r="G977" s="88" t="str">
        <x:f>IF(C977="","",MIN(MAX(0,D977+E977-F977),SUMIFS(SONDERZAHLUNGEN!$E$9:$E$128,SONDERZAHLUNGEN!$B$9:$B$128,C977,SONDERZAHLUNGEN!$C$9:$C$128,A977,SONDERZAHLUNGEN!$H$9:$H$128,"OK",SONDERZAHLUNGEN!$F$9:$F$128,"Ja")))</x:f>
      </x:c>
      <x:c r="H977" s="88" t="str">
        <x:f>IF(C977="","",MIN(MAX(0,D977+E977-F977-G977),MAX(0,IF(MONATSBUDGET!$C$55="",0,MONATSBUDGET!$C$55)-SUM(F960:F979)-SUM(H960:H976))))</x:f>
      </x:c>
      <x:c r="I977" s="88" t="str">
        <x:f>IF(C977="","",MAX(0,ROUND(D977+E977-F977-G977-H977,2)))</x:f>
      </x:c>
      <x:c r="J977" s="88" t="str">
        <x:f>IF(C977="","",F977+G977+H977)</x:f>
      </x:c>
      <x:c r="K977" s="88" t="str">
        <x:f>IF(C977="","",MAX(0,SUMIFS(SONDERZAHLUNGEN!$E$9:$E$128,SONDERZAHLUNGEN!$B$9:$B$128,C977,SONDERZAHLUNGEN!$C$9:$C$128,A977,SONDERZAHLUNGEN!$H$9:$H$128,"OK",SONDERZAHLUNGEN!$F$9:$F$128,"Ja")-G977))</x:f>
      </x:c>
    </x:row>
    <x:row r="978" ht="19" customHeight="1">
      <x:c r="A978" s="90" t="n">
        <x:f>MONATSBUDGET!$A$55</x:f>
        <x:v>47665</x:v>
      </x:c>
      <x:c r="B978" t="n">
        <x:f>19</x:f>
        <x:v>19</x:v>
      </x:c>
      <x:c r="C978" t="str">
        <x:f>IF($N$27="","",$N$27)</x:f>
      </x:c>
      <x:c r="D978" s="88" t="str">
        <x:f>IF(C978="","",I958)</x:f>
      </x:c>
      <x:c r="E978" s="88" t="str">
        <x:f>IF(C978="","",ROUND(D978*$P$27/12,2))</x:f>
      </x:c>
      <x:c r="F978" s="88" t="str">
        <x:f>IF(C978="","",MIN(D978+E978,$Q$27))</x:f>
      </x:c>
      <x:c r="G978" s="88" t="str">
        <x:f>IF(C978="","",MIN(MAX(0,D978+E978-F978),SUMIFS(SONDERZAHLUNGEN!$E$9:$E$128,SONDERZAHLUNGEN!$B$9:$B$128,C978,SONDERZAHLUNGEN!$C$9:$C$128,A978,SONDERZAHLUNGEN!$H$9:$H$128,"OK",SONDERZAHLUNGEN!$F$9:$F$128,"Ja")))</x:f>
      </x:c>
      <x:c r="H978" s="88" t="str">
        <x:f>IF(C978="","",MIN(MAX(0,D978+E978-F978-G978),MAX(0,IF(MONATSBUDGET!$C$55="",0,MONATSBUDGET!$C$55)-SUM(F960:F979)-SUM(H960:H977))))</x:f>
      </x:c>
      <x:c r="I978" s="88" t="str">
        <x:f>IF(C978="","",MAX(0,ROUND(D978+E978-F978-G978-H978,2)))</x:f>
      </x:c>
      <x:c r="J978" s="88" t="str">
        <x:f>IF(C978="","",F978+G978+H978)</x:f>
      </x:c>
      <x:c r="K978" s="88" t="str">
        <x:f>IF(C978="","",MAX(0,SUMIFS(SONDERZAHLUNGEN!$E$9:$E$128,SONDERZAHLUNGEN!$B$9:$B$128,C978,SONDERZAHLUNGEN!$C$9:$C$128,A978,SONDERZAHLUNGEN!$H$9:$H$128,"OK",SONDERZAHLUNGEN!$F$9:$F$128,"Ja")-G978))</x:f>
      </x:c>
    </x:row>
    <x:row r="979" ht="19" customHeight="1">
      <x:c r="A979" s="90" t="n">
        <x:f>MONATSBUDGET!$A$55</x:f>
        <x:v>47665</x:v>
      </x:c>
      <x:c r="B979" t="n">
        <x:f>20</x:f>
        <x:v>20</x:v>
      </x:c>
      <x:c r="C979" t="str">
        <x:f>IF($N$28="","",$N$28)</x:f>
      </x:c>
      <x:c r="D979" s="88" t="str">
        <x:f>IF(C979="","",I959)</x:f>
      </x:c>
      <x:c r="E979" s="88" t="str">
        <x:f>IF(C979="","",ROUND(D979*$P$28/12,2))</x:f>
      </x:c>
      <x:c r="F979" s="88" t="str">
        <x:f>IF(C979="","",MIN(D979+E979,$Q$28))</x:f>
      </x:c>
      <x:c r="G979" s="88" t="str">
        <x:f>IF(C979="","",MIN(MAX(0,D979+E979-F979),SUMIFS(SONDERZAHLUNGEN!$E$9:$E$128,SONDERZAHLUNGEN!$B$9:$B$128,C979,SONDERZAHLUNGEN!$C$9:$C$128,A979,SONDERZAHLUNGEN!$H$9:$H$128,"OK",SONDERZAHLUNGEN!$F$9:$F$128,"Ja")))</x:f>
      </x:c>
      <x:c r="H979" s="88" t="str">
        <x:f>IF(C979="","",MIN(MAX(0,D979+E979-F979-G979),MAX(0,IF(MONATSBUDGET!$C$55="",0,MONATSBUDGET!$C$55)-SUM(F960:F979)-SUM(H960:H978))))</x:f>
      </x:c>
      <x:c r="I979" s="88" t="str">
        <x:f>IF(C979="","",MAX(0,ROUND(D979+E979-F979-G979-H979,2)))</x:f>
      </x:c>
      <x:c r="J979" s="88" t="str">
        <x:f>IF(C979="","",F979+G979+H979)</x:f>
      </x:c>
      <x:c r="K979" s="88" t="str">
        <x:f>IF(C979="","",MAX(0,SUMIFS(SONDERZAHLUNGEN!$E$9:$E$128,SONDERZAHLUNGEN!$B$9:$B$128,C979,SONDERZAHLUNGEN!$C$9:$C$128,A979,SONDERZAHLUNGEN!$H$9:$H$128,"OK",SONDERZAHLUNGEN!$F$9:$F$128,"Ja")-G979))</x:f>
      </x:c>
    </x:row>
    <x:row r="980" ht="19" customHeight="1">
      <x:c r="A980" s="90" t="n">
        <x:f>MONATSBUDGET!$A$56</x:f>
        <x:v>47696</x:v>
      </x:c>
      <x:c r="B980" t="n">
        <x:f>1</x:f>
        <x:v>1</x:v>
      </x:c>
      <x:c r="C980" t="str">
        <x:f>IF($N$9="","",$N$9)</x:f>
      </x:c>
      <x:c r="D980" s="88" t="str">
        <x:f>IF(C980="","",I960)</x:f>
      </x:c>
      <x:c r="E980" s="88" t="str">
        <x:f>IF(C980="","",ROUND(D980*$P$9/12,2))</x:f>
      </x:c>
      <x:c r="F980" s="88" t="str">
        <x:f>IF(C980="","",MIN(D980+E980,$Q$9))</x:f>
      </x:c>
      <x:c r="G980" s="88" t="str">
        <x:f>IF(C980="","",MIN(MAX(0,D980+E980-F980),SUMIFS(SONDERZAHLUNGEN!$E$9:$E$128,SONDERZAHLUNGEN!$B$9:$B$128,C980,SONDERZAHLUNGEN!$C$9:$C$128,A980,SONDERZAHLUNGEN!$H$9:$H$128,"OK",SONDERZAHLUNGEN!$F$9:$F$128,"Ja")))</x:f>
      </x:c>
      <x:c r="H980" s="88" t="str">
        <x:f>IF(C980="","",MIN(MAX(0,D980+E980-F980-G980),MAX(0,IF(MONATSBUDGET!$C$56="",0,MONATSBUDGET!$C$56)-SUM(F980:F999)-0)))</x:f>
      </x:c>
      <x:c r="I980" s="88" t="str">
        <x:f>IF(C980="","",MAX(0,ROUND(D980+E980-F980-G980-H980,2)))</x:f>
      </x:c>
      <x:c r="J980" s="88" t="str">
        <x:f>IF(C980="","",F980+G980+H980)</x:f>
      </x:c>
      <x:c r="K980" s="88" t="str">
        <x:f>IF(C980="","",MAX(0,SUMIFS(SONDERZAHLUNGEN!$E$9:$E$128,SONDERZAHLUNGEN!$B$9:$B$128,C980,SONDERZAHLUNGEN!$C$9:$C$128,A980,SONDERZAHLUNGEN!$H$9:$H$128,"OK",SONDERZAHLUNGEN!$F$9:$F$128,"Ja")-G980))</x:f>
      </x:c>
    </x:row>
    <x:row r="981" ht="19" customHeight="1">
      <x:c r="A981" s="90" t="n">
        <x:f>MONATSBUDGET!$A$56</x:f>
        <x:v>47696</x:v>
      </x:c>
      <x:c r="B981" t="n">
        <x:f>2</x:f>
        <x:v>2</x:v>
      </x:c>
      <x:c r="C981" t="str">
        <x:f>IF($N$10="","",$N$10)</x:f>
      </x:c>
      <x:c r="D981" s="88" t="str">
        <x:f>IF(C981="","",I961)</x:f>
      </x:c>
      <x:c r="E981" s="88" t="str">
        <x:f>IF(C981="","",ROUND(D981*$P$10/12,2))</x:f>
      </x:c>
      <x:c r="F981" s="88" t="str">
        <x:f>IF(C981="","",MIN(D981+E981,$Q$10))</x:f>
      </x:c>
      <x:c r="G981" s="88" t="str">
        <x:f>IF(C981="","",MIN(MAX(0,D981+E981-F981),SUMIFS(SONDERZAHLUNGEN!$E$9:$E$128,SONDERZAHLUNGEN!$B$9:$B$128,C981,SONDERZAHLUNGEN!$C$9:$C$128,A981,SONDERZAHLUNGEN!$H$9:$H$128,"OK",SONDERZAHLUNGEN!$F$9:$F$128,"Ja")))</x:f>
      </x:c>
      <x:c r="H981" s="88" t="str">
        <x:f>IF(C981="","",MIN(MAX(0,D981+E981-F981-G981),MAX(0,IF(MONATSBUDGET!$C$56="",0,MONATSBUDGET!$C$56)-SUM(F980:F999)-SUM(H980:H980))))</x:f>
      </x:c>
      <x:c r="I981" s="88" t="str">
        <x:f>IF(C981="","",MAX(0,ROUND(D981+E981-F981-G981-H981,2)))</x:f>
      </x:c>
      <x:c r="J981" s="88" t="str">
        <x:f>IF(C981="","",F981+G981+H981)</x:f>
      </x:c>
      <x:c r="K981" s="88" t="str">
        <x:f>IF(C981="","",MAX(0,SUMIFS(SONDERZAHLUNGEN!$E$9:$E$128,SONDERZAHLUNGEN!$B$9:$B$128,C981,SONDERZAHLUNGEN!$C$9:$C$128,A981,SONDERZAHLUNGEN!$H$9:$H$128,"OK",SONDERZAHLUNGEN!$F$9:$F$128,"Ja")-G981))</x:f>
      </x:c>
    </x:row>
    <x:row r="982" ht="19" customHeight="1">
      <x:c r="A982" s="90" t="n">
        <x:f>MONATSBUDGET!$A$56</x:f>
        <x:v>47696</x:v>
      </x:c>
      <x:c r="B982" t="n">
        <x:f>3</x:f>
        <x:v>3</x:v>
      </x:c>
      <x:c r="C982" t="str">
        <x:f>IF($N$11="","",$N$11)</x:f>
      </x:c>
      <x:c r="D982" s="88" t="str">
        <x:f>IF(C982="","",I962)</x:f>
      </x:c>
      <x:c r="E982" s="88" t="str">
        <x:f>IF(C982="","",ROUND(D982*$P$11/12,2))</x:f>
      </x:c>
      <x:c r="F982" s="88" t="str">
        <x:f>IF(C982="","",MIN(D982+E982,$Q$11))</x:f>
      </x:c>
      <x:c r="G982" s="88" t="str">
        <x:f>IF(C982="","",MIN(MAX(0,D982+E982-F982),SUMIFS(SONDERZAHLUNGEN!$E$9:$E$128,SONDERZAHLUNGEN!$B$9:$B$128,C982,SONDERZAHLUNGEN!$C$9:$C$128,A982,SONDERZAHLUNGEN!$H$9:$H$128,"OK",SONDERZAHLUNGEN!$F$9:$F$128,"Ja")))</x:f>
      </x:c>
      <x:c r="H982" s="88" t="str">
        <x:f>IF(C982="","",MIN(MAX(0,D982+E982-F982-G982),MAX(0,IF(MONATSBUDGET!$C$56="",0,MONATSBUDGET!$C$56)-SUM(F980:F999)-SUM(H980:H981))))</x:f>
      </x:c>
      <x:c r="I982" s="88" t="str">
        <x:f>IF(C982="","",MAX(0,ROUND(D982+E982-F982-G982-H982,2)))</x:f>
      </x:c>
      <x:c r="J982" s="88" t="str">
        <x:f>IF(C982="","",F982+G982+H982)</x:f>
      </x:c>
      <x:c r="K982" s="88" t="str">
        <x:f>IF(C982="","",MAX(0,SUMIFS(SONDERZAHLUNGEN!$E$9:$E$128,SONDERZAHLUNGEN!$B$9:$B$128,C982,SONDERZAHLUNGEN!$C$9:$C$128,A982,SONDERZAHLUNGEN!$H$9:$H$128,"OK",SONDERZAHLUNGEN!$F$9:$F$128,"Ja")-G982))</x:f>
      </x:c>
    </x:row>
    <x:row r="983" ht="19" customHeight="1">
      <x:c r="A983" s="90" t="n">
        <x:f>MONATSBUDGET!$A$56</x:f>
        <x:v>47696</x:v>
      </x:c>
      <x:c r="B983" t="n">
        <x:f>4</x:f>
        <x:v>4</x:v>
      </x:c>
      <x:c r="C983" t="str">
        <x:f>IF($N$12="","",$N$12)</x:f>
      </x:c>
      <x:c r="D983" s="88" t="str">
        <x:f>IF(C983="","",I963)</x:f>
      </x:c>
      <x:c r="E983" s="88" t="str">
        <x:f>IF(C983="","",ROUND(D983*$P$12/12,2))</x:f>
      </x:c>
      <x:c r="F983" s="88" t="str">
        <x:f>IF(C983="","",MIN(D983+E983,$Q$12))</x:f>
      </x:c>
      <x:c r="G983" s="88" t="str">
        <x:f>IF(C983="","",MIN(MAX(0,D983+E983-F983),SUMIFS(SONDERZAHLUNGEN!$E$9:$E$128,SONDERZAHLUNGEN!$B$9:$B$128,C983,SONDERZAHLUNGEN!$C$9:$C$128,A983,SONDERZAHLUNGEN!$H$9:$H$128,"OK",SONDERZAHLUNGEN!$F$9:$F$128,"Ja")))</x:f>
      </x:c>
      <x:c r="H983" s="88" t="str">
        <x:f>IF(C983="","",MIN(MAX(0,D983+E983-F983-G983),MAX(0,IF(MONATSBUDGET!$C$56="",0,MONATSBUDGET!$C$56)-SUM(F980:F999)-SUM(H980:H982))))</x:f>
      </x:c>
      <x:c r="I983" s="88" t="str">
        <x:f>IF(C983="","",MAX(0,ROUND(D983+E983-F983-G983-H983,2)))</x:f>
      </x:c>
      <x:c r="J983" s="88" t="str">
        <x:f>IF(C983="","",F983+G983+H983)</x:f>
      </x:c>
      <x:c r="K983" s="88" t="str">
        <x:f>IF(C983="","",MAX(0,SUMIFS(SONDERZAHLUNGEN!$E$9:$E$128,SONDERZAHLUNGEN!$B$9:$B$128,C983,SONDERZAHLUNGEN!$C$9:$C$128,A983,SONDERZAHLUNGEN!$H$9:$H$128,"OK",SONDERZAHLUNGEN!$F$9:$F$128,"Ja")-G983))</x:f>
      </x:c>
    </x:row>
    <x:row r="984" ht="19" customHeight="1">
      <x:c r="A984" s="90" t="n">
        <x:f>MONATSBUDGET!$A$56</x:f>
        <x:v>47696</x:v>
      </x:c>
      <x:c r="B984" t="n">
        <x:f>5</x:f>
        <x:v>5</x:v>
      </x:c>
      <x:c r="C984" t="str">
        <x:f>IF($N$13="","",$N$13)</x:f>
      </x:c>
      <x:c r="D984" s="88" t="str">
        <x:f>IF(C984="","",I964)</x:f>
      </x:c>
      <x:c r="E984" s="88" t="str">
        <x:f>IF(C984="","",ROUND(D984*$P$13/12,2))</x:f>
      </x:c>
      <x:c r="F984" s="88" t="str">
        <x:f>IF(C984="","",MIN(D984+E984,$Q$13))</x:f>
      </x:c>
      <x:c r="G984" s="88" t="str">
        <x:f>IF(C984="","",MIN(MAX(0,D984+E984-F984),SUMIFS(SONDERZAHLUNGEN!$E$9:$E$128,SONDERZAHLUNGEN!$B$9:$B$128,C984,SONDERZAHLUNGEN!$C$9:$C$128,A984,SONDERZAHLUNGEN!$H$9:$H$128,"OK",SONDERZAHLUNGEN!$F$9:$F$128,"Ja")))</x:f>
      </x:c>
      <x:c r="H984" s="88" t="str">
        <x:f>IF(C984="","",MIN(MAX(0,D984+E984-F984-G984),MAX(0,IF(MONATSBUDGET!$C$56="",0,MONATSBUDGET!$C$56)-SUM(F980:F999)-SUM(H980:H983))))</x:f>
      </x:c>
      <x:c r="I984" s="88" t="str">
        <x:f>IF(C984="","",MAX(0,ROUND(D984+E984-F984-G984-H984,2)))</x:f>
      </x:c>
      <x:c r="J984" s="88" t="str">
        <x:f>IF(C984="","",F984+G984+H984)</x:f>
      </x:c>
      <x:c r="K984" s="88" t="str">
        <x:f>IF(C984="","",MAX(0,SUMIFS(SONDERZAHLUNGEN!$E$9:$E$128,SONDERZAHLUNGEN!$B$9:$B$128,C984,SONDERZAHLUNGEN!$C$9:$C$128,A984,SONDERZAHLUNGEN!$H$9:$H$128,"OK",SONDERZAHLUNGEN!$F$9:$F$128,"Ja")-G984))</x:f>
      </x:c>
    </x:row>
    <x:row r="985" ht="19" customHeight="1">
      <x:c r="A985" s="90" t="n">
        <x:f>MONATSBUDGET!$A$56</x:f>
        <x:v>47696</x:v>
      </x:c>
      <x:c r="B985" t="n">
        <x:f>6</x:f>
        <x:v>6</x:v>
      </x:c>
      <x:c r="C985" t="str">
        <x:f>IF($N$14="","",$N$14)</x:f>
      </x:c>
      <x:c r="D985" s="88" t="str">
        <x:f>IF(C985="","",I965)</x:f>
      </x:c>
      <x:c r="E985" s="88" t="str">
        <x:f>IF(C985="","",ROUND(D985*$P$14/12,2))</x:f>
      </x:c>
      <x:c r="F985" s="88" t="str">
        <x:f>IF(C985="","",MIN(D985+E985,$Q$14))</x:f>
      </x:c>
      <x:c r="G985" s="88" t="str">
        <x:f>IF(C985="","",MIN(MAX(0,D985+E985-F985),SUMIFS(SONDERZAHLUNGEN!$E$9:$E$128,SONDERZAHLUNGEN!$B$9:$B$128,C985,SONDERZAHLUNGEN!$C$9:$C$128,A985,SONDERZAHLUNGEN!$H$9:$H$128,"OK",SONDERZAHLUNGEN!$F$9:$F$128,"Ja")))</x:f>
      </x:c>
      <x:c r="H985" s="88" t="str">
        <x:f>IF(C985="","",MIN(MAX(0,D985+E985-F985-G985),MAX(0,IF(MONATSBUDGET!$C$56="",0,MONATSBUDGET!$C$56)-SUM(F980:F999)-SUM(H980:H984))))</x:f>
      </x:c>
      <x:c r="I985" s="88" t="str">
        <x:f>IF(C985="","",MAX(0,ROUND(D985+E985-F985-G985-H985,2)))</x:f>
      </x:c>
      <x:c r="J985" s="88" t="str">
        <x:f>IF(C985="","",F985+G985+H985)</x:f>
      </x:c>
      <x:c r="K985" s="88" t="str">
        <x:f>IF(C985="","",MAX(0,SUMIFS(SONDERZAHLUNGEN!$E$9:$E$128,SONDERZAHLUNGEN!$B$9:$B$128,C985,SONDERZAHLUNGEN!$C$9:$C$128,A985,SONDERZAHLUNGEN!$H$9:$H$128,"OK",SONDERZAHLUNGEN!$F$9:$F$128,"Ja")-G985))</x:f>
      </x:c>
    </x:row>
    <x:row r="986" ht="19" customHeight="1">
      <x:c r="A986" s="90" t="n">
        <x:f>MONATSBUDGET!$A$56</x:f>
        <x:v>47696</x:v>
      </x:c>
      <x:c r="B986" t="n">
        <x:f>7</x:f>
        <x:v>7</x:v>
      </x:c>
      <x:c r="C986" t="str">
        <x:f>IF($N$15="","",$N$15)</x:f>
      </x:c>
      <x:c r="D986" s="88" t="str">
        <x:f>IF(C986="","",I966)</x:f>
      </x:c>
      <x:c r="E986" s="88" t="str">
        <x:f>IF(C986="","",ROUND(D986*$P$15/12,2))</x:f>
      </x:c>
      <x:c r="F986" s="88" t="str">
        <x:f>IF(C986="","",MIN(D986+E986,$Q$15))</x:f>
      </x:c>
      <x:c r="G986" s="88" t="str">
        <x:f>IF(C986="","",MIN(MAX(0,D986+E986-F986),SUMIFS(SONDERZAHLUNGEN!$E$9:$E$128,SONDERZAHLUNGEN!$B$9:$B$128,C986,SONDERZAHLUNGEN!$C$9:$C$128,A986,SONDERZAHLUNGEN!$H$9:$H$128,"OK",SONDERZAHLUNGEN!$F$9:$F$128,"Ja")))</x:f>
      </x:c>
      <x:c r="H986" s="88" t="str">
        <x:f>IF(C986="","",MIN(MAX(0,D986+E986-F986-G986),MAX(0,IF(MONATSBUDGET!$C$56="",0,MONATSBUDGET!$C$56)-SUM(F980:F999)-SUM(H980:H985))))</x:f>
      </x:c>
      <x:c r="I986" s="88" t="str">
        <x:f>IF(C986="","",MAX(0,ROUND(D986+E986-F986-G986-H986,2)))</x:f>
      </x:c>
      <x:c r="J986" s="88" t="str">
        <x:f>IF(C986="","",F986+G986+H986)</x:f>
      </x:c>
      <x:c r="K986" s="88" t="str">
        <x:f>IF(C986="","",MAX(0,SUMIFS(SONDERZAHLUNGEN!$E$9:$E$128,SONDERZAHLUNGEN!$B$9:$B$128,C986,SONDERZAHLUNGEN!$C$9:$C$128,A986,SONDERZAHLUNGEN!$H$9:$H$128,"OK",SONDERZAHLUNGEN!$F$9:$F$128,"Ja")-G986))</x:f>
      </x:c>
    </x:row>
    <x:row r="987" ht="19" customHeight="1">
      <x:c r="A987" s="90" t="n">
        <x:f>MONATSBUDGET!$A$56</x:f>
        <x:v>47696</x:v>
      </x:c>
      <x:c r="B987" t="n">
        <x:f>8</x:f>
        <x:v>8</x:v>
      </x:c>
      <x:c r="C987" t="str">
        <x:f>IF($N$16="","",$N$16)</x:f>
      </x:c>
      <x:c r="D987" s="88" t="str">
        <x:f>IF(C987="","",I967)</x:f>
      </x:c>
      <x:c r="E987" s="88" t="str">
        <x:f>IF(C987="","",ROUND(D987*$P$16/12,2))</x:f>
      </x:c>
      <x:c r="F987" s="88" t="str">
        <x:f>IF(C987="","",MIN(D987+E987,$Q$16))</x:f>
      </x:c>
      <x:c r="G987" s="88" t="str">
        <x:f>IF(C987="","",MIN(MAX(0,D987+E987-F987),SUMIFS(SONDERZAHLUNGEN!$E$9:$E$128,SONDERZAHLUNGEN!$B$9:$B$128,C987,SONDERZAHLUNGEN!$C$9:$C$128,A987,SONDERZAHLUNGEN!$H$9:$H$128,"OK",SONDERZAHLUNGEN!$F$9:$F$128,"Ja")))</x:f>
      </x:c>
      <x:c r="H987" s="88" t="str">
        <x:f>IF(C987="","",MIN(MAX(0,D987+E987-F987-G987),MAX(0,IF(MONATSBUDGET!$C$56="",0,MONATSBUDGET!$C$56)-SUM(F980:F999)-SUM(H980:H986))))</x:f>
      </x:c>
      <x:c r="I987" s="88" t="str">
        <x:f>IF(C987="","",MAX(0,ROUND(D987+E987-F987-G987-H987,2)))</x:f>
      </x:c>
      <x:c r="J987" s="88" t="str">
        <x:f>IF(C987="","",F987+G987+H987)</x:f>
      </x:c>
      <x:c r="K987" s="88" t="str">
        <x:f>IF(C987="","",MAX(0,SUMIFS(SONDERZAHLUNGEN!$E$9:$E$128,SONDERZAHLUNGEN!$B$9:$B$128,C987,SONDERZAHLUNGEN!$C$9:$C$128,A987,SONDERZAHLUNGEN!$H$9:$H$128,"OK",SONDERZAHLUNGEN!$F$9:$F$128,"Ja")-G987))</x:f>
      </x:c>
    </x:row>
    <x:row r="988" ht="19" customHeight="1">
      <x:c r="A988" s="90" t="n">
        <x:f>MONATSBUDGET!$A$56</x:f>
        <x:v>47696</x:v>
      </x:c>
      <x:c r="B988" t="n">
        <x:f>9</x:f>
        <x:v>9</x:v>
      </x:c>
      <x:c r="C988" t="str">
        <x:f>IF($N$17="","",$N$17)</x:f>
      </x:c>
      <x:c r="D988" s="88" t="str">
        <x:f>IF(C988="","",I968)</x:f>
      </x:c>
      <x:c r="E988" s="88" t="str">
        <x:f>IF(C988="","",ROUND(D988*$P$17/12,2))</x:f>
      </x:c>
      <x:c r="F988" s="88" t="str">
        <x:f>IF(C988="","",MIN(D988+E988,$Q$17))</x:f>
      </x:c>
      <x:c r="G988" s="88" t="str">
        <x:f>IF(C988="","",MIN(MAX(0,D988+E988-F988),SUMIFS(SONDERZAHLUNGEN!$E$9:$E$128,SONDERZAHLUNGEN!$B$9:$B$128,C988,SONDERZAHLUNGEN!$C$9:$C$128,A988,SONDERZAHLUNGEN!$H$9:$H$128,"OK",SONDERZAHLUNGEN!$F$9:$F$128,"Ja")))</x:f>
      </x:c>
      <x:c r="H988" s="88" t="str">
        <x:f>IF(C988="","",MIN(MAX(0,D988+E988-F988-G988),MAX(0,IF(MONATSBUDGET!$C$56="",0,MONATSBUDGET!$C$56)-SUM(F980:F999)-SUM(H980:H987))))</x:f>
      </x:c>
      <x:c r="I988" s="88" t="str">
        <x:f>IF(C988="","",MAX(0,ROUND(D988+E988-F988-G988-H988,2)))</x:f>
      </x:c>
      <x:c r="J988" s="88" t="str">
        <x:f>IF(C988="","",F988+G988+H988)</x:f>
      </x:c>
      <x:c r="K988" s="88" t="str">
        <x:f>IF(C988="","",MAX(0,SUMIFS(SONDERZAHLUNGEN!$E$9:$E$128,SONDERZAHLUNGEN!$B$9:$B$128,C988,SONDERZAHLUNGEN!$C$9:$C$128,A988,SONDERZAHLUNGEN!$H$9:$H$128,"OK",SONDERZAHLUNGEN!$F$9:$F$128,"Ja")-G988))</x:f>
      </x:c>
    </x:row>
    <x:row r="989" ht="19" customHeight="1">
      <x:c r="A989" s="90" t="n">
        <x:f>MONATSBUDGET!$A$56</x:f>
        <x:v>47696</x:v>
      </x:c>
      <x:c r="B989" t="n">
        <x:f>10</x:f>
        <x:v>10</x:v>
      </x:c>
      <x:c r="C989" t="str">
        <x:f>IF($N$18="","",$N$18)</x:f>
      </x:c>
      <x:c r="D989" s="88" t="str">
        <x:f>IF(C989="","",I969)</x:f>
      </x:c>
      <x:c r="E989" s="88" t="str">
        <x:f>IF(C989="","",ROUND(D989*$P$18/12,2))</x:f>
      </x:c>
      <x:c r="F989" s="88" t="str">
        <x:f>IF(C989="","",MIN(D989+E989,$Q$18))</x:f>
      </x:c>
      <x:c r="G989" s="88" t="str">
        <x:f>IF(C989="","",MIN(MAX(0,D989+E989-F989),SUMIFS(SONDERZAHLUNGEN!$E$9:$E$128,SONDERZAHLUNGEN!$B$9:$B$128,C989,SONDERZAHLUNGEN!$C$9:$C$128,A989,SONDERZAHLUNGEN!$H$9:$H$128,"OK",SONDERZAHLUNGEN!$F$9:$F$128,"Ja")))</x:f>
      </x:c>
      <x:c r="H989" s="88" t="str">
        <x:f>IF(C989="","",MIN(MAX(0,D989+E989-F989-G989),MAX(0,IF(MONATSBUDGET!$C$56="",0,MONATSBUDGET!$C$56)-SUM(F980:F999)-SUM(H980:H988))))</x:f>
      </x:c>
      <x:c r="I989" s="88" t="str">
        <x:f>IF(C989="","",MAX(0,ROUND(D989+E989-F989-G989-H989,2)))</x:f>
      </x:c>
      <x:c r="J989" s="88" t="str">
        <x:f>IF(C989="","",F989+G989+H989)</x:f>
      </x:c>
      <x:c r="K989" s="88" t="str">
        <x:f>IF(C989="","",MAX(0,SUMIFS(SONDERZAHLUNGEN!$E$9:$E$128,SONDERZAHLUNGEN!$B$9:$B$128,C989,SONDERZAHLUNGEN!$C$9:$C$128,A989,SONDERZAHLUNGEN!$H$9:$H$128,"OK",SONDERZAHLUNGEN!$F$9:$F$128,"Ja")-G989))</x:f>
      </x:c>
    </x:row>
    <x:row r="990" ht="19" customHeight="1">
      <x:c r="A990" s="90" t="n">
        <x:f>MONATSBUDGET!$A$56</x:f>
        <x:v>47696</x:v>
      </x:c>
      <x:c r="B990" t="n">
        <x:f>11</x:f>
        <x:v>11</x:v>
      </x:c>
      <x:c r="C990" t="str">
        <x:f>IF($N$19="","",$N$19)</x:f>
      </x:c>
      <x:c r="D990" s="88" t="str">
        <x:f>IF(C990="","",I970)</x:f>
      </x:c>
      <x:c r="E990" s="88" t="str">
        <x:f>IF(C990="","",ROUND(D990*$P$19/12,2))</x:f>
      </x:c>
      <x:c r="F990" s="88" t="str">
        <x:f>IF(C990="","",MIN(D990+E990,$Q$19))</x:f>
      </x:c>
      <x:c r="G990" s="88" t="str">
        <x:f>IF(C990="","",MIN(MAX(0,D990+E990-F990),SUMIFS(SONDERZAHLUNGEN!$E$9:$E$128,SONDERZAHLUNGEN!$B$9:$B$128,C990,SONDERZAHLUNGEN!$C$9:$C$128,A990,SONDERZAHLUNGEN!$H$9:$H$128,"OK",SONDERZAHLUNGEN!$F$9:$F$128,"Ja")))</x:f>
      </x:c>
      <x:c r="H990" s="88" t="str">
        <x:f>IF(C990="","",MIN(MAX(0,D990+E990-F990-G990),MAX(0,IF(MONATSBUDGET!$C$56="",0,MONATSBUDGET!$C$56)-SUM(F980:F999)-SUM(H980:H989))))</x:f>
      </x:c>
      <x:c r="I990" s="88" t="str">
        <x:f>IF(C990="","",MAX(0,ROUND(D990+E990-F990-G990-H990,2)))</x:f>
      </x:c>
      <x:c r="J990" s="88" t="str">
        <x:f>IF(C990="","",F990+G990+H990)</x:f>
      </x:c>
      <x:c r="K990" s="88" t="str">
        <x:f>IF(C990="","",MAX(0,SUMIFS(SONDERZAHLUNGEN!$E$9:$E$128,SONDERZAHLUNGEN!$B$9:$B$128,C990,SONDERZAHLUNGEN!$C$9:$C$128,A990,SONDERZAHLUNGEN!$H$9:$H$128,"OK",SONDERZAHLUNGEN!$F$9:$F$128,"Ja")-G990))</x:f>
      </x:c>
    </x:row>
    <x:row r="991" ht="19" customHeight="1">
      <x:c r="A991" s="90" t="n">
        <x:f>MONATSBUDGET!$A$56</x:f>
        <x:v>47696</x:v>
      </x:c>
      <x:c r="B991" t="n">
        <x:f>12</x:f>
        <x:v>12</x:v>
      </x:c>
      <x:c r="C991" t="str">
        <x:f>IF($N$20="","",$N$20)</x:f>
      </x:c>
      <x:c r="D991" s="88" t="str">
        <x:f>IF(C991="","",I971)</x:f>
      </x:c>
      <x:c r="E991" s="88" t="str">
        <x:f>IF(C991="","",ROUND(D991*$P$20/12,2))</x:f>
      </x:c>
      <x:c r="F991" s="88" t="str">
        <x:f>IF(C991="","",MIN(D991+E991,$Q$20))</x:f>
      </x:c>
      <x:c r="G991" s="88" t="str">
        <x:f>IF(C991="","",MIN(MAX(0,D991+E991-F991),SUMIFS(SONDERZAHLUNGEN!$E$9:$E$128,SONDERZAHLUNGEN!$B$9:$B$128,C991,SONDERZAHLUNGEN!$C$9:$C$128,A991,SONDERZAHLUNGEN!$H$9:$H$128,"OK",SONDERZAHLUNGEN!$F$9:$F$128,"Ja")))</x:f>
      </x:c>
      <x:c r="H991" s="88" t="str">
        <x:f>IF(C991="","",MIN(MAX(0,D991+E991-F991-G991),MAX(0,IF(MONATSBUDGET!$C$56="",0,MONATSBUDGET!$C$56)-SUM(F980:F999)-SUM(H980:H990))))</x:f>
      </x:c>
      <x:c r="I991" s="88" t="str">
        <x:f>IF(C991="","",MAX(0,ROUND(D991+E991-F991-G991-H991,2)))</x:f>
      </x:c>
      <x:c r="J991" s="88" t="str">
        <x:f>IF(C991="","",F991+G991+H991)</x:f>
      </x:c>
      <x:c r="K991" s="88" t="str">
        <x:f>IF(C991="","",MAX(0,SUMIFS(SONDERZAHLUNGEN!$E$9:$E$128,SONDERZAHLUNGEN!$B$9:$B$128,C991,SONDERZAHLUNGEN!$C$9:$C$128,A991,SONDERZAHLUNGEN!$H$9:$H$128,"OK",SONDERZAHLUNGEN!$F$9:$F$128,"Ja")-G991))</x:f>
      </x:c>
    </x:row>
    <x:row r="992" ht="19" customHeight="1">
      <x:c r="A992" s="90" t="n">
        <x:f>MONATSBUDGET!$A$56</x:f>
        <x:v>47696</x:v>
      </x:c>
      <x:c r="B992" t="n">
        <x:f>13</x:f>
        <x:v>13</x:v>
      </x:c>
      <x:c r="C992" t="str">
        <x:f>IF($N$21="","",$N$21)</x:f>
      </x:c>
      <x:c r="D992" s="88" t="str">
        <x:f>IF(C992="","",I972)</x:f>
      </x:c>
      <x:c r="E992" s="88" t="str">
        <x:f>IF(C992="","",ROUND(D992*$P$21/12,2))</x:f>
      </x:c>
      <x:c r="F992" s="88" t="str">
        <x:f>IF(C992="","",MIN(D992+E992,$Q$21))</x:f>
      </x:c>
      <x:c r="G992" s="88" t="str">
        <x:f>IF(C992="","",MIN(MAX(0,D992+E992-F992),SUMIFS(SONDERZAHLUNGEN!$E$9:$E$128,SONDERZAHLUNGEN!$B$9:$B$128,C992,SONDERZAHLUNGEN!$C$9:$C$128,A992,SONDERZAHLUNGEN!$H$9:$H$128,"OK",SONDERZAHLUNGEN!$F$9:$F$128,"Ja")))</x:f>
      </x:c>
      <x:c r="H992" s="88" t="str">
        <x:f>IF(C992="","",MIN(MAX(0,D992+E992-F992-G992),MAX(0,IF(MONATSBUDGET!$C$56="",0,MONATSBUDGET!$C$56)-SUM(F980:F999)-SUM(H980:H991))))</x:f>
      </x:c>
      <x:c r="I992" s="88" t="str">
        <x:f>IF(C992="","",MAX(0,ROUND(D992+E992-F992-G992-H992,2)))</x:f>
      </x:c>
      <x:c r="J992" s="88" t="str">
        <x:f>IF(C992="","",F992+G992+H992)</x:f>
      </x:c>
      <x:c r="K992" s="88" t="str">
        <x:f>IF(C992="","",MAX(0,SUMIFS(SONDERZAHLUNGEN!$E$9:$E$128,SONDERZAHLUNGEN!$B$9:$B$128,C992,SONDERZAHLUNGEN!$C$9:$C$128,A992,SONDERZAHLUNGEN!$H$9:$H$128,"OK",SONDERZAHLUNGEN!$F$9:$F$128,"Ja")-G992))</x:f>
      </x:c>
    </x:row>
    <x:row r="993" ht="19" customHeight="1">
      <x:c r="A993" s="90" t="n">
        <x:f>MONATSBUDGET!$A$56</x:f>
        <x:v>47696</x:v>
      </x:c>
      <x:c r="B993" t="n">
        <x:f>14</x:f>
        <x:v>14</x:v>
      </x:c>
      <x:c r="C993" t="str">
        <x:f>IF($N$22="","",$N$22)</x:f>
      </x:c>
      <x:c r="D993" s="88" t="str">
        <x:f>IF(C993="","",I973)</x:f>
      </x:c>
      <x:c r="E993" s="88" t="str">
        <x:f>IF(C993="","",ROUND(D993*$P$22/12,2))</x:f>
      </x:c>
      <x:c r="F993" s="88" t="str">
        <x:f>IF(C993="","",MIN(D993+E993,$Q$22))</x:f>
      </x:c>
      <x:c r="G993" s="88" t="str">
        <x:f>IF(C993="","",MIN(MAX(0,D993+E993-F993),SUMIFS(SONDERZAHLUNGEN!$E$9:$E$128,SONDERZAHLUNGEN!$B$9:$B$128,C993,SONDERZAHLUNGEN!$C$9:$C$128,A993,SONDERZAHLUNGEN!$H$9:$H$128,"OK",SONDERZAHLUNGEN!$F$9:$F$128,"Ja")))</x:f>
      </x:c>
      <x:c r="H993" s="88" t="str">
        <x:f>IF(C993="","",MIN(MAX(0,D993+E993-F993-G993),MAX(0,IF(MONATSBUDGET!$C$56="",0,MONATSBUDGET!$C$56)-SUM(F980:F999)-SUM(H980:H992))))</x:f>
      </x:c>
      <x:c r="I993" s="88" t="str">
        <x:f>IF(C993="","",MAX(0,ROUND(D993+E993-F993-G993-H993,2)))</x:f>
      </x:c>
      <x:c r="J993" s="88" t="str">
        <x:f>IF(C993="","",F993+G993+H993)</x:f>
      </x:c>
      <x:c r="K993" s="88" t="str">
        <x:f>IF(C993="","",MAX(0,SUMIFS(SONDERZAHLUNGEN!$E$9:$E$128,SONDERZAHLUNGEN!$B$9:$B$128,C993,SONDERZAHLUNGEN!$C$9:$C$128,A993,SONDERZAHLUNGEN!$H$9:$H$128,"OK",SONDERZAHLUNGEN!$F$9:$F$128,"Ja")-G993))</x:f>
      </x:c>
    </x:row>
    <x:row r="994" ht="19" customHeight="1">
      <x:c r="A994" s="90" t="n">
        <x:f>MONATSBUDGET!$A$56</x:f>
        <x:v>47696</x:v>
      </x:c>
      <x:c r="B994" t="n">
        <x:f>15</x:f>
        <x:v>15</x:v>
      </x:c>
      <x:c r="C994" t="str">
        <x:f>IF($N$23="","",$N$23)</x:f>
      </x:c>
      <x:c r="D994" s="88" t="str">
        <x:f>IF(C994="","",I974)</x:f>
      </x:c>
      <x:c r="E994" s="88" t="str">
        <x:f>IF(C994="","",ROUND(D994*$P$23/12,2))</x:f>
      </x:c>
      <x:c r="F994" s="88" t="str">
        <x:f>IF(C994="","",MIN(D994+E994,$Q$23))</x:f>
      </x:c>
      <x:c r="G994" s="88" t="str">
        <x:f>IF(C994="","",MIN(MAX(0,D994+E994-F994),SUMIFS(SONDERZAHLUNGEN!$E$9:$E$128,SONDERZAHLUNGEN!$B$9:$B$128,C994,SONDERZAHLUNGEN!$C$9:$C$128,A994,SONDERZAHLUNGEN!$H$9:$H$128,"OK",SONDERZAHLUNGEN!$F$9:$F$128,"Ja")))</x:f>
      </x:c>
      <x:c r="H994" s="88" t="str">
        <x:f>IF(C994="","",MIN(MAX(0,D994+E994-F994-G994),MAX(0,IF(MONATSBUDGET!$C$56="",0,MONATSBUDGET!$C$56)-SUM(F980:F999)-SUM(H980:H993))))</x:f>
      </x:c>
      <x:c r="I994" s="88" t="str">
        <x:f>IF(C994="","",MAX(0,ROUND(D994+E994-F994-G994-H994,2)))</x:f>
      </x:c>
      <x:c r="J994" s="88" t="str">
        <x:f>IF(C994="","",F994+G994+H994)</x:f>
      </x:c>
      <x:c r="K994" s="88" t="str">
        <x:f>IF(C994="","",MAX(0,SUMIFS(SONDERZAHLUNGEN!$E$9:$E$128,SONDERZAHLUNGEN!$B$9:$B$128,C994,SONDERZAHLUNGEN!$C$9:$C$128,A994,SONDERZAHLUNGEN!$H$9:$H$128,"OK",SONDERZAHLUNGEN!$F$9:$F$128,"Ja")-G994))</x:f>
      </x:c>
    </x:row>
    <x:row r="995" ht="19" customHeight="1">
      <x:c r="A995" s="90" t="n">
        <x:f>MONATSBUDGET!$A$56</x:f>
        <x:v>47696</x:v>
      </x:c>
      <x:c r="B995" t="n">
        <x:f>16</x:f>
        <x:v>16</x:v>
      </x:c>
      <x:c r="C995" t="str">
        <x:f>IF($N$24="","",$N$24)</x:f>
      </x:c>
      <x:c r="D995" s="88" t="str">
        <x:f>IF(C995="","",I975)</x:f>
      </x:c>
      <x:c r="E995" s="88" t="str">
        <x:f>IF(C995="","",ROUND(D995*$P$24/12,2))</x:f>
      </x:c>
      <x:c r="F995" s="88" t="str">
        <x:f>IF(C995="","",MIN(D995+E995,$Q$24))</x:f>
      </x:c>
      <x:c r="G995" s="88" t="str">
        <x:f>IF(C995="","",MIN(MAX(0,D995+E995-F995),SUMIFS(SONDERZAHLUNGEN!$E$9:$E$128,SONDERZAHLUNGEN!$B$9:$B$128,C995,SONDERZAHLUNGEN!$C$9:$C$128,A995,SONDERZAHLUNGEN!$H$9:$H$128,"OK",SONDERZAHLUNGEN!$F$9:$F$128,"Ja")))</x:f>
      </x:c>
      <x:c r="H995" s="88" t="str">
        <x:f>IF(C995="","",MIN(MAX(0,D995+E995-F995-G995),MAX(0,IF(MONATSBUDGET!$C$56="",0,MONATSBUDGET!$C$56)-SUM(F980:F999)-SUM(H980:H994))))</x:f>
      </x:c>
      <x:c r="I995" s="88" t="str">
        <x:f>IF(C995="","",MAX(0,ROUND(D995+E995-F995-G995-H995,2)))</x:f>
      </x:c>
      <x:c r="J995" s="88" t="str">
        <x:f>IF(C995="","",F995+G995+H995)</x:f>
      </x:c>
      <x:c r="K995" s="88" t="str">
        <x:f>IF(C995="","",MAX(0,SUMIFS(SONDERZAHLUNGEN!$E$9:$E$128,SONDERZAHLUNGEN!$B$9:$B$128,C995,SONDERZAHLUNGEN!$C$9:$C$128,A995,SONDERZAHLUNGEN!$H$9:$H$128,"OK",SONDERZAHLUNGEN!$F$9:$F$128,"Ja")-G995))</x:f>
      </x:c>
    </x:row>
    <x:row r="996" ht="19" customHeight="1">
      <x:c r="A996" s="90" t="n">
        <x:f>MONATSBUDGET!$A$56</x:f>
        <x:v>47696</x:v>
      </x:c>
      <x:c r="B996" t="n">
        <x:f>17</x:f>
        <x:v>17</x:v>
      </x:c>
      <x:c r="C996" t="str">
        <x:f>IF($N$25="","",$N$25)</x:f>
      </x:c>
      <x:c r="D996" s="88" t="str">
        <x:f>IF(C996="","",I976)</x:f>
      </x:c>
      <x:c r="E996" s="88" t="str">
        <x:f>IF(C996="","",ROUND(D996*$P$25/12,2))</x:f>
      </x:c>
      <x:c r="F996" s="88" t="str">
        <x:f>IF(C996="","",MIN(D996+E996,$Q$25))</x:f>
      </x:c>
      <x:c r="G996" s="88" t="str">
        <x:f>IF(C996="","",MIN(MAX(0,D996+E996-F996),SUMIFS(SONDERZAHLUNGEN!$E$9:$E$128,SONDERZAHLUNGEN!$B$9:$B$128,C996,SONDERZAHLUNGEN!$C$9:$C$128,A996,SONDERZAHLUNGEN!$H$9:$H$128,"OK",SONDERZAHLUNGEN!$F$9:$F$128,"Ja")))</x:f>
      </x:c>
      <x:c r="H996" s="88" t="str">
        <x:f>IF(C996="","",MIN(MAX(0,D996+E996-F996-G996),MAX(0,IF(MONATSBUDGET!$C$56="",0,MONATSBUDGET!$C$56)-SUM(F980:F999)-SUM(H980:H995))))</x:f>
      </x:c>
      <x:c r="I996" s="88" t="str">
        <x:f>IF(C996="","",MAX(0,ROUND(D996+E996-F996-G996-H996,2)))</x:f>
      </x:c>
      <x:c r="J996" s="88" t="str">
        <x:f>IF(C996="","",F996+G996+H996)</x:f>
      </x:c>
      <x:c r="K996" s="88" t="str">
        <x:f>IF(C996="","",MAX(0,SUMIFS(SONDERZAHLUNGEN!$E$9:$E$128,SONDERZAHLUNGEN!$B$9:$B$128,C996,SONDERZAHLUNGEN!$C$9:$C$128,A996,SONDERZAHLUNGEN!$H$9:$H$128,"OK",SONDERZAHLUNGEN!$F$9:$F$128,"Ja")-G996))</x:f>
      </x:c>
    </x:row>
    <x:row r="997" ht="19" customHeight="1">
      <x:c r="A997" s="90" t="n">
        <x:f>MONATSBUDGET!$A$56</x:f>
        <x:v>47696</x:v>
      </x:c>
      <x:c r="B997" t="n">
        <x:f>18</x:f>
        <x:v>18</x:v>
      </x:c>
      <x:c r="C997" t="str">
        <x:f>IF($N$26="","",$N$26)</x:f>
      </x:c>
      <x:c r="D997" s="88" t="str">
        <x:f>IF(C997="","",I977)</x:f>
      </x:c>
      <x:c r="E997" s="88" t="str">
        <x:f>IF(C997="","",ROUND(D997*$P$26/12,2))</x:f>
      </x:c>
      <x:c r="F997" s="88" t="str">
        <x:f>IF(C997="","",MIN(D997+E997,$Q$26))</x:f>
      </x:c>
      <x:c r="G997" s="88" t="str">
        <x:f>IF(C997="","",MIN(MAX(0,D997+E997-F997),SUMIFS(SONDERZAHLUNGEN!$E$9:$E$128,SONDERZAHLUNGEN!$B$9:$B$128,C997,SONDERZAHLUNGEN!$C$9:$C$128,A997,SONDERZAHLUNGEN!$H$9:$H$128,"OK",SONDERZAHLUNGEN!$F$9:$F$128,"Ja")))</x:f>
      </x:c>
      <x:c r="H997" s="88" t="str">
        <x:f>IF(C997="","",MIN(MAX(0,D997+E997-F997-G997),MAX(0,IF(MONATSBUDGET!$C$56="",0,MONATSBUDGET!$C$56)-SUM(F980:F999)-SUM(H980:H996))))</x:f>
      </x:c>
      <x:c r="I997" s="88" t="str">
        <x:f>IF(C997="","",MAX(0,ROUND(D997+E997-F997-G997-H997,2)))</x:f>
      </x:c>
      <x:c r="J997" s="88" t="str">
        <x:f>IF(C997="","",F997+G997+H997)</x:f>
      </x:c>
      <x:c r="K997" s="88" t="str">
        <x:f>IF(C997="","",MAX(0,SUMIFS(SONDERZAHLUNGEN!$E$9:$E$128,SONDERZAHLUNGEN!$B$9:$B$128,C997,SONDERZAHLUNGEN!$C$9:$C$128,A997,SONDERZAHLUNGEN!$H$9:$H$128,"OK",SONDERZAHLUNGEN!$F$9:$F$128,"Ja")-G997))</x:f>
      </x:c>
    </x:row>
    <x:row r="998" ht="19" customHeight="1">
      <x:c r="A998" s="90" t="n">
        <x:f>MONATSBUDGET!$A$56</x:f>
        <x:v>47696</x:v>
      </x:c>
      <x:c r="B998" t="n">
        <x:f>19</x:f>
        <x:v>19</x:v>
      </x:c>
      <x:c r="C998" t="str">
        <x:f>IF($N$27="","",$N$27)</x:f>
      </x:c>
      <x:c r="D998" s="88" t="str">
        <x:f>IF(C998="","",I978)</x:f>
      </x:c>
      <x:c r="E998" s="88" t="str">
        <x:f>IF(C998="","",ROUND(D998*$P$27/12,2))</x:f>
      </x:c>
      <x:c r="F998" s="88" t="str">
        <x:f>IF(C998="","",MIN(D998+E998,$Q$27))</x:f>
      </x:c>
      <x:c r="G998" s="88" t="str">
        <x:f>IF(C998="","",MIN(MAX(0,D998+E998-F998),SUMIFS(SONDERZAHLUNGEN!$E$9:$E$128,SONDERZAHLUNGEN!$B$9:$B$128,C998,SONDERZAHLUNGEN!$C$9:$C$128,A998,SONDERZAHLUNGEN!$H$9:$H$128,"OK",SONDERZAHLUNGEN!$F$9:$F$128,"Ja")))</x:f>
      </x:c>
      <x:c r="H998" s="88" t="str">
        <x:f>IF(C998="","",MIN(MAX(0,D998+E998-F998-G998),MAX(0,IF(MONATSBUDGET!$C$56="",0,MONATSBUDGET!$C$56)-SUM(F980:F999)-SUM(H980:H997))))</x:f>
      </x:c>
      <x:c r="I998" s="88" t="str">
        <x:f>IF(C998="","",MAX(0,ROUND(D998+E998-F998-G998-H998,2)))</x:f>
      </x:c>
      <x:c r="J998" s="88" t="str">
        <x:f>IF(C998="","",F998+G998+H998)</x:f>
      </x:c>
      <x:c r="K998" s="88" t="str">
        <x:f>IF(C998="","",MAX(0,SUMIFS(SONDERZAHLUNGEN!$E$9:$E$128,SONDERZAHLUNGEN!$B$9:$B$128,C998,SONDERZAHLUNGEN!$C$9:$C$128,A998,SONDERZAHLUNGEN!$H$9:$H$128,"OK",SONDERZAHLUNGEN!$F$9:$F$128,"Ja")-G998))</x:f>
      </x:c>
    </x:row>
    <x:row r="999" ht="19" customHeight="1">
      <x:c r="A999" s="90" t="n">
        <x:f>MONATSBUDGET!$A$56</x:f>
        <x:v>47696</x:v>
      </x:c>
      <x:c r="B999" t="n">
        <x:f>20</x:f>
        <x:v>20</x:v>
      </x:c>
      <x:c r="C999" t="str">
        <x:f>IF($N$28="","",$N$28)</x:f>
      </x:c>
      <x:c r="D999" s="88" t="str">
        <x:f>IF(C999="","",I979)</x:f>
      </x:c>
      <x:c r="E999" s="88" t="str">
        <x:f>IF(C999="","",ROUND(D999*$P$28/12,2))</x:f>
      </x:c>
      <x:c r="F999" s="88" t="str">
        <x:f>IF(C999="","",MIN(D999+E999,$Q$28))</x:f>
      </x:c>
      <x:c r="G999" s="88" t="str">
        <x:f>IF(C999="","",MIN(MAX(0,D999+E999-F999),SUMIFS(SONDERZAHLUNGEN!$E$9:$E$128,SONDERZAHLUNGEN!$B$9:$B$128,C999,SONDERZAHLUNGEN!$C$9:$C$128,A999,SONDERZAHLUNGEN!$H$9:$H$128,"OK",SONDERZAHLUNGEN!$F$9:$F$128,"Ja")))</x:f>
      </x:c>
      <x:c r="H999" s="88" t="str">
        <x:f>IF(C999="","",MIN(MAX(0,D999+E999-F999-G999),MAX(0,IF(MONATSBUDGET!$C$56="",0,MONATSBUDGET!$C$56)-SUM(F980:F999)-SUM(H980:H998))))</x:f>
      </x:c>
      <x:c r="I999" s="88" t="str">
        <x:f>IF(C999="","",MAX(0,ROUND(D999+E999-F999-G999-H999,2)))</x:f>
      </x:c>
      <x:c r="J999" s="88" t="str">
        <x:f>IF(C999="","",F999+G999+H999)</x:f>
      </x:c>
      <x:c r="K999" s="88" t="str">
        <x:f>IF(C999="","",MAX(0,SUMIFS(SONDERZAHLUNGEN!$E$9:$E$128,SONDERZAHLUNGEN!$B$9:$B$128,C999,SONDERZAHLUNGEN!$C$9:$C$128,A999,SONDERZAHLUNGEN!$H$9:$H$128,"OK",SONDERZAHLUNGEN!$F$9:$F$128,"Ja")-G999))</x:f>
      </x:c>
    </x:row>
    <x:row r="1000" ht="19" customHeight="1">
      <x:c r="A1000" s="90" t="n">
        <x:f>MONATSBUDGET!$A$57</x:f>
        <x:v>47727</x:v>
      </x:c>
      <x:c r="B1000" t="n">
        <x:f>1</x:f>
        <x:v>1</x:v>
      </x:c>
      <x:c r="C1000" t="str">
        <x:f>IF($N$9="","",$N$9)</x:f>
      </x:c>
      <x:c r="D1000" s="88" t="str">
        <x:f>IF(C1000="","",I980)</x:f>
      </x:c>
      <x:c r="E1000" s="88" t="str">
        <x:f>IF(C1000="","",ROUND(D1000*$P$9/12,2))</x:f>
      </x:c>
      <x:c r="F1000" s="88" t="str">
        <x:f>IF(C1000="","",MIN(D1000+E1000,$Q$9))</x:f>
      </x:c>
      <x:c r="G1000" s="88" t="str">
        <x:f>IF(C1000="","",MIN(MAX(0,D1000+E1000-F1000),SUMIFS(SONDERZAHLUNGEN!$E$9:$E$128,SONDERZAHLUNGEN!$B$9:$B$128,C1000,SONDERZAHLUNGEN!$C$9:$C$128,A1000,SONDERZAHLUNGEN!$H$9:$H$128,"OK",SONDERZAHLUNGEN!$F$9:$F$128,"Ja")))</x:f>
      </x:c>
      <x:c r="H1000" s="88" t="str">
        <x:f>IF(C1000="","",MIN(MAX(0,D1000+E1000-F1000-G1000),MAX(0,IF(MONATSBUDGET!$C$57="",0,MONATSBUDGET!$C$57)-SUM(F1000:F1019)-0)))</x:f>
      </x:c>
      <x:c r="I1000" s="88" t="str">
        <x:f>IF(C1000="","",MAX(0,ROUND(D1000+E1000-F1000-G1000-H1000,2)))</x:f>
      </x:c>
      <x:c r="J1000" s="88" t="str">
        <x:f>IF(C1000="","",F1000+G1000+H1000)</x:f>
      </x:c>
      <x:c r="K1000" s="88" t="str">
        <x:f>IF(C1000="","",MAX(0,SUMIFS(SONDERZAHLUNGEN!$E$9:$E$128,SONDERZAHLUNGEN!$B$9:$B$128,C1000,SONDERZAHLUNGEN!$C$9:$C$128,A1000,SONDERZAHLUNGEN!$H$9:$H$128,"OK",SONDERZAHLUNGEN!$F$9:$F$128,"Ja")-G1000))</x:f>
      </x:c>
    </x:row>
    <x:row r="1001" ht="19" customHeight="1">
      <x:c r="A1001" s="90" t="n">
        <x:f>MONATSBUDGET!$A$57</x:f>
        <x:v>47727</x:v>
      </x:c>
      <x:c r="B1001" t="n">
        <x:f>2</x:f>
        <x:v>2</x:v>
      </x:c>
      <x:c r="C1001" t="str">
        <x:f>IF($N$10="","",$N$10)</x:f>
      </x:c>
      <x:c r="D1001" s="88" t="str">
        <x:f>IF(C1001="","",I981)</x:f>
      </x:c>
      <x:c r="E1001" s="88" t="str">
        <x:f>IF(C1001="","",ROUND(D1001*$P$10/12,2))</x:f>
      </x:c>
      <x:c r="F1001" s="88" t="str">
        <x:f>IF(C1001="","",MIN(D1001+E1001,$Q$10))</x:f>
      </x:c>
      <x:c r="G1001" s="88" t="str">
        <x:f>IF(C1001="","",MIN(MAX(0,D1001+E1001-F1001),SUMIFS(SONDERZAHLUNGEN!$E$9:$E$128,SONDERZAHLUNGEN!$B$9:$B$128,C1001,SONDERZAHLUNGEN!$C$9:$C$128,A1001,SONDERZAHLUNGEN!$H$9:$H$128,"OK",SONDERZAHLUNGEN!$F$9:$F$128,"Ja")))</x:f>
      </x:c>
      <x:c r="H1001" s="88" t="str">
        <x:f>IF(C1001="","",MIN(MAX(0,D1001+E1001-F1001-G1001),MAX(0,IF(MONATSBUDGET!$C$57="",0,MONATSBUDGET!$C$57)-SUM(F1000:F1019)-SUM(H1000:H1000))))</x:f>
      </x:c>
      <x:c r="I1001" s="88" t="str">
        <x:f>IF(C1001="","",MAX(0,ROUND(D1001+E1001-F1001-G1001-H1001,2)))</x:f>
      </x:c>
      <x:c r="J1001" s="88" t="str">
        <x:f>IF(C1001="","",F1001+G1001+H1001)</x:f>
      </x:c>
      <x:c r="K1001" s="88" t="str">
        <x:f>IF(C1001="","",MAX(0,SUMIFS(SONDERZAHLUNGEN!$E$9:$E$128,SONDERZAHLUNGEN!$B$9:$B$128,C1001,SONDERZAHLUNGEN!$C$9:$C$128,A1001,SONDERZAHLUNGEN!$H$9:$H$128,"OK",SONDERZAHLUNGEN!$F$9:$F$128,"Ja")-G1001))</x:f>
      </x:c>
    </x:row>
    <x:row r="1002" ht="19" customHeight="1">
      <x:c r="A1002" s="90" t="n">
        <x:f>MONATSBUDGET!$A$57</x:f>
        <x:v>47727</x:v>
      </x:c>
      <x:c r="B1002" t="n">
        <x:f>3</x:f>
        <x:v>3</x:v>
      </x:c>
      <x:c r="C1002" t="str">
        <x:f>IF($N$11="","",$N$11)</x:f>
      </x:c>
      <x:c r="D1002" s="88" t="str">
        <x:f>IF(C1002="","",I982)</x:f>
      </x:c>
      <x:c r="E1002" s="88" t="str">
        <x:f>IF(C1002="","",ROUND(D1002*$P$11/12,2))</x:f>
      </x:c>
      <x:c r="F1002" s="88" t="str">
        <x:f>IF(C1002="","",MIN(D1002+E1002,$Q$11))</x:f>
      </x:c>
      <x:c r="G1002" s="88" t="str">
        <x:f>IF(C1002="","",MIN(MAX(0,D1002+E1002-F1002),SUMIFS(SONDERZAHLUNGEN!$E$9:$E$128,SONDERZAHLUNGEN!$B$9:$B$128,C1002,SONDERZAHLUNGEN!$C$9:$C$128,A1002,SONDERZAHLUNGEN!$H$9:$H$128,"OK",SONDERZAHLUNGEN!$F$9:$F$128,"Ja")))</x:f>
      </x:c>
      <x:c r="H1002" s="88" t="str">
        <x:f>IF(C1002="","",MIN(MAX(0,D1002+E1002-F1002-G1002),MAX(0,IF(MONATSBUDGET!$C$57="",0,MONATSBUDGET!$C$57)-SUM(F1000:F1019)-SUM(H1000:H1001))))</x:f>
      </x:c>
      <x:c r="I1002" s="88" t="str">
        <x:f>IF(C1002="","",MAX(0,ROUND(D1002+E1002-F1002-G1002-H1002,2)))</x:f>
      </x:c>
      <x:c r="J1002" s="88" t="str">
        <x:f>IF(C1002="","",F1002+G1002+H1002)</x:f>
      </x:c>
      <x:c r="K1002" s="88" t="str">
        <x:f>IF(C1002="","",MAX(0,SUMIFS(SONDERZAHLUNGEN!$E$9:$E$128,SONDERZAHLUNGEN!$B$9:$B$128,C1002,SONDERZAHLUNGEN!$C$9:$C$128,A1002,SONDERZAHLUNGEN!$H$9:$H$128,"OK",SONDERZAHLUNGEN!$F$9:$F$128,"Ja")-G1002))</x:f>
      </x:c>
    </x:row>
    <x:row r="1003" ht="19" customHeight="1">
      <x:c r="A1003" s="90" t="n">
        <x:f>MONATSBUDGET!$A$57</x:f>
        <x:v>47727</x:v>
      </x:c>
      <x:c r="B1003" t="n">
        <x:f>4</x:f>
        <x:v>4</x:v>
      </x:c>
      <x:c r="C1003" t="str">
        <x:f>IF($N$12="","",$N$12)</x:f>
      </x:c>
      <x:c r="D1003" s="88" t="str">
        <x:f>IF(C1003="","",I983)</x:f>
      </x:c>
      <x:c r="E1003" s="88" t="str">
        <x:f>IF(C1003="","",ROUND(D1003*$P$12/12,2))</x:f>
      </x:c>
      <x:c r="F1003" s="88" t="str">
        <x:f>IF(C1003="","",MIN(D1003+E1003,$Q$12))</x:f>
      </x:c>
      <x:c r="G1003" s="88" t="str">
        <x:f>IF(C1003="","",MIN(MAX(0,D1003+E1003-F1003),SUMIFS(SONDERZAHLUNGEN!$E$9:$E$128,SONDERZAHLUNGEN!$B$9:$B$128,C1003,SONDERZAHLUNGEN!$C$9:$C$128,A1003,SONDERZAHLUNGEN!$H$9:$H$128,"OK",SONDERZAHLUNGEN!$F$9:$F$128,"Ja")))</x:f>
      </x:c>
      <x:c r="H1003" s="88" t="str">
        <x:f>IF(C1003="","",MIN(MAX(0,D1003+E1003-F1003-G1003),MAX(0,IF(MONATSBUDGET!$C$57="",0,MONATSBUDGET!$C$57)-SUM(F1000:F1019)-SUM(H1000:H1002))))</x:f>
      </x:c>
      <x:c r="I1003" s="88" t="str">
        <x:f>IF(C1003="","",MAX(0,ROUND(D1003+E1003-F1003-G1003-H1003,2)))</x:f>
      </x:c>
      <x:c r="J1003" s="88" t="str">
        <x:f>IF(C1003="","",F1003+G1003+H1003)</x:f>
      </x:c>
      <x:c r="K1003" s="88" t="str">
        <x:f>IF(C1003="","",MAX(0,SUMIFS(SONDERZAHLUNGEN!$E$9:$E$128,SONDERZAHLUNGEN!$B$9:$B$128,C1003,SONDERZAHLUNGEN!$C$9:$C$128,A1003,SONDERZAHLUNGEN!$H$9:$H$128,"OK",SONDERZAHLUNGEN!$F$9:$F$128,"Ja")-G1003))</x:f>
      </x:c>
    </x:row>
    <x:row r="1004" ht="19" customHeight="1">
      <x:c r="A1004" s="90" t="n">
        <x:f>MONATSBUDGET!$A$57</x:f>
        <x:v>47727</x:v>
      </x:c>
      <x:c r="B1004" t="n">
        <x:f>5</x:f>
        <x:v>5</x:v>
      </x:c>
      <x:c r="C1004" t="str">
        <x:f>IF($N$13="","",$N$13)</x:f>
      </x:c>
      <x:c r="D1004" s="88" t="str">
        <x:f>IF(C1004="","",I984)</x:f>
      </x:c>
      <x:c r="E1004" s="88" t="str">
        <x:f>IF(C1004="","",ROUND(D1004*$P$13/12,2))</x:f>
      </x:c>
      <x:c r="F1004" s="88" t="str">
        <x:f>IF(C1004="","",MIN(D1004+E1004,$Q$13))</x:f>
      </x:c>
      <x:c r="G1004" s="88" t="str">
        <x:f>IF(C1004="","",MIN(MAX(0,D1004+E1004-F1004),SUMIFS(SONDERZAHLUNGEN!$E$9:$E$128,SONDERZAHLUNGEN!$B$9:$B$128,C1004,SONDERZAHLUNGEN!$C$9:$C$128,A1004,SONDERZAHLUNGEN!$H$9:$H$128,"OK",SONDERZAHLUNGEN!$F$9:$F$128,"Ja")))</x:f>
      </x:c>
      <x:c r="H1004" s="88" t="str">
        <x:f>IF(C1004="","",MIN(MAX(0,D1004+E1004-F1004-G1004),MAX(0,IF(MONATSBUDGET!$C$57="",0,MONATSBUDGET!$C$57)-SUM(F1000:F1019)-SUM(H1000:H1003))))</x:f>
      </x:c>
      <x:c r="I1004" s="88" t="str">
        <x:f>IF(C1004="","",MAX(0,ROUND(D1004+E1004-F1004-G1004-H1004,2)))</x:f>
      </x:c>
      <x:c r="J1004" s="88" t="str">
        <x:f>IF(C1004="","",F1004+G1004+H1004)</x:f>
      </x:c>
      <x:c r="K1004" s="88" t="str">
        <x:f>IF(C1004="","",MAX(0,SUMIFS(SONDERZAHLUNGEN!$E$9:$E$128,SONDERZAHLUNGEN!$B$9:$B$128,C1004,SONDERZAHLUNGEN!$C$9:$C$128,A1004,SONDERZAHLUNGEN!$H$9:$H$128,"OK",SONDERZAHLUNGEN!$F$9:$F$128,"Ja")-G1004))</x:f>
      </x:c>
    </x:row>
    <x:row r="1005" ht="19" customHeight="1">
      <x:c r="A1005" s="90" t="n">
        <x:f>MONATSBUDGET!$A$57</x:f>
        <x:v>47727</x:v>
      </x:c>
      <x:c r="B1005" t="n">
        <x:f>6</x:f>
        <x:v>6</x:v>
      </x:c>
      <x:c r="C1005" t="str">
        <x:f>IF($N$14="","",$N$14)</x:f>
      </x:c>
      <x:c r="D1005" s="88" t="str">
        <x:f>IF(C1005="","",I985)</x:f>
      </x:c>
      <x:c r="E1005" s="88" t="str">
        <x:f>IF(C1005="","",ROUND(D1005*$P$14/12,2))</x:f>
      </x:c>
      <x:c r="F1005" s="88" t="str">
        <x:f>IF(C1005="","",MIN(D1005+E1005,$Q$14))</x:f>
      </x:c>
      <x:c r="G1005" s="88" t="str">
        <x:f>IF(C1005="","",MIN(MAX(0,D1005+E1005-F1005),SUMIFS(SONDERZAHLUNGEN!$E$9:$E$128,SONDERZAHLUNGEN!$B$9:$B$128,C1005,SONDERZAHLUNGEN!$C$9:$C$128,A1005,SONDERZAHLUNGEN!$H$9:$H$128,"OK",SONDERZAHLUNGEN!$F$9:$F$128,"Ja")))</x:f>
      </x:c>
      <x:c r="H1005" s="88" t="str">
        <x:f>IF(C1005="","",MIN(MAX(0,D1005+E1005-F1005-G1005),MAX(0,IF(MONATSBUDGET!$C$57="",0,MONATSBUDGET!$C$57)-SUM(F1000:F1019)-SUM(H1000:H1004))))</x:f>
      </x:c>
      <x:c r="I1005" s="88" t="str">
        <x:f>IF(C1005="","",MAX(0,ROUND(D1005+E1005-F1005-G1005-H1005,2)))</x:f>
      </x:c>
      <x:c r="J1005" s="88" t="str">
        <x:f>IF(C1005="","",F1005+G1005+H1005)</x:f>
      </x:c>
      <x:c r="K1005" s="88" t="str">
        <x:f>IF(C1005="","",MAX(0,SUMIFS(SONDERZAHLUNGEN!$E$9:$E$128,SONDERZAHLUNGEN!$B$9:$B$128,C1005,SONDERZAHLUNGEN!$C$9:$C$128,A1005,SONDERZAHLUNGEN!$H$9:$H$128,"OK",SONDERZAHLUNGEN!$F$9:$F$128,"Ja")-G1005))</x:f>
      </x:c>
    </x:row>
    <x:row r="1006" ht="19" customHeight="1">
      <x:c r="A1006" s="90" t="n">
        <x:f>MONATSBUDGET!$A$57</x:f>
        <x:v>47727</x:v>
      </x:c>
      <x:c r="B1006" t="n">
        <x:f>7</x:f>
        <x:v>7</x:v>
      </x:c>
      <x:c r="C1006" t="str">
        <x:f>IF($N$15="","",$N$15)</x:f>
      </x:c>
      <x:c r="D1006" s="88" t="str">
        <x:f>IF(C1006="","",I986)</x:f>
      </x:c>
      <x:c r="E1006" s="88" t="str">
        <x:f>IF(C1006="","",ROUND(D1006*$P$15/12,2))</x:f>
      </x:c>
      <x:c r="F1006" s="88" t="str">
        <x:f>IF(C1006="","",MIN(D1006+E1006,$Q$15))</x:f>
      </x:c>
      <x:c r="G1006" s="88" t="str">
        <x:f>IF(C1006="","",MIN(MAX(0,D1006+E1006-F1006),SUMIFS(SONDERZAHLUNGEN!$E$9:$E$128,SONDERZAHLUNGEN!$B$9:$B$128,C1006,SONDERZAHLUNGEN!$C$9:$C$128,A1006,SONDERZAHLUNGEN!$H$9:$H$128,"OK",SONDERZAHLUNGEN!$F$9:$F$128,"Ja")))</x:f>
      </x:c>
      <x:c r="H1006" s="88" t="str">
        <x:f>IF(C1006="","",MIN(MAX(0,D1006+E1006-F1006-G1006),MAX(0,IF(MONATSBUDGET!$C$57="",0,MONATSBUDGET!$C$57)-SUM(F1000:F1019)-SUM(H1000:H1005))))</x:f>
      </x:c>
      <x:c r="I1006" s="88" t="str">
        <x:f>IF(C1006="","",MAX(0,ROUND(D1006+E1006-F1006-G1006-H1006,2)))</x:f>
      </x:c>
      <x:c r="J1006" s="88" t="str">
        <x:f>IF(C1006="","",F1006+G1006+H1006)</x:f>
      </x:c>
      <x:c r="K1006" s="88" t="str">
        <x:f>IF(C1006="","",MAX(0,SUMIFS(SONDERZAHLUNGEN!$E$9:$E$128,SONDERZAHLUNGEN!$B$9:$B$128,C1006,SONDERZAHLUNGEN!$C$9:$C$128,A1006,SONDERZAHLUNGEN!$H$9:$H$128,"OK",SONDERZAHLUNGEN!$F$9:$F$128,"Ja")-G1006))</x:f>
      </x:c>
    </x:row>
    <x:row r="1007" ht="19" customHeight="1">
      <x:c r="A1007" s="90" t="n">
        <x:f>MONATSBUDGET!$A$57</x:f>
        <x:v>47727</x:v>
      </x:c>
      <x:c r="B1007" t="n">
        <x:f>8</x:f>
        <x:v>8</x:v>
      </x:c>
      <x:c r="C1007" t="str">
        <x:f>IF($N$16="","",$N$16)</x:f>
      </x:c>
      <x:c r="D1007" s="88" t="str">
        <x:f>IF(C1007="","",I987)</x:f>
      </x:c>
      <x:c r="E1007" s="88" t="str">
        <x:f>IF(C1007="","",ROUND(D1007*$P$16/12,2))</x:f>
      </x:c>
      <x:c r="F1007" s="88" t="str">
        <x:f>IF(C1007="","",MIN(D1007+E1007,$Q$16))</x:f>
      </x:c>
      <x:c r="G1007" s="88" t="str">
        <x:f>IF(C1007="","",MIN(MAX(0,D1007+E1007-F1007),SUMIFS(SONDERZAHLUNGEN!$E$9:$E$128,SONDERZAHLUNGEN!$B$9:$B$128,C1007,SONDERZAHLUNGEN!$C$9:$C$128,A1007,SONDERZAHLUNGEN!$H$9:$H$128,"OK",SONDERZAHLUNGEN!$F$9:$F$128,"Ja")))</x:f>
      </x:c>
      <x:c r="H1007" s="88" t="str">
        <x:f>IF(C1007="","",MIN(MAX(0,D1007+E1007-F1007-G1007),MAX(0,IF(MONATSBUDGET!$C$57="",0,MONATSBUDGET!$C$57)-SUM(F1000:F1019)-SUM(H1000:H1006))))</x:f>
      </x:c>
      <x:c r="I1007" s="88" t="str">
        <x:f>IF(C1007="","",MAX(0,ROUND(D1007+E1007-F1007-G1007-H1007,2)))</x:f>
      </x:c>
      <x:c r="J1007" s="88" t="str">
        <x:f>IF(C1007="","",F1007+G1007+H1007)</x:f>
      </x:c>
      <x:c r="K1007" s="88" t="str">
        <x:f>IF(C1007="","",MAX(0,SUMIFS(SONDERZAHLUNGEN!$E$9:$E$128,SONDERZAHLUNGEN!$B$9:$B$128,C1007,SONDERZAHLUNGEN!$C$9:$C$128,A1007,SONDERZAHLUNGEN!$H$9:$H$128,"OK",SONDERZAHLUNGEN!$F$9:$F$128,"Ja")-G1007))</x:f>
      </x:c>
    </x:row>
    <x:row r="1008" ht="19" customHeight="1">
      <x:c r="A1008" s="90" t="n">
        <x:f>MONATSBUDGET!$A$57</x:f>
        <x:v>47727</x:v>
      </x:c>
      <x:c r="B1008" t="n">
        <x:f>9</x:f>
        <x:v>9</x:v>
      </x:c>
      <x:c r="C1008" t="str">
        <x:f>IF($N$17="","",$N$17)</x:f>
      </x:c>
      <x:c r="D1008" s="88" t="str">
        <x:f>IF(C1008="","",I988)</x:f>
      </x:c>
      <x:c r="E1008" s="88" t="str">
        <x:f>IF(C1008="","",ROUND(D1008*$P$17/12,2))</x:f>
      </x:c>
      <x:c r="F1008" s="88" t="str">
        <x:f>IF(C1008="","",MIN(D1008+E1008,$Q$17))</x:f>
      </x:c>
      <x:c r="G1008" s="88" t="str">
        <x:f>IF(C1008="","",MIN(MAX(0,D1008+E1008-F1008),SUMIFS(SONDERZAHLUNGEN!$E$9:$E$128,SONDERZAHLUNGEN!$B$9:$B$128,C1008,SONDERZAHLUNGEN!$C$9:$C$128,A1008,SONDERZAHLUNGEN!$H$9:$H$128,"OK",SONDERZAHLUNGEN!$F$9:$F$128,"Ja")))</x:f>
      </x:c>
      <x:c r="H1008" s="88" t="str">
        <x:f>IF(C1008="","",MIN(MAX(0,D1008+E1008-F1008-G1008),MAX(0,IF(MONATSBUDGET!$C$57="",0,MONATSBUDGET!$C$57)-SUM(F1000:F1019)-SUM(H1000:H1007))))</x:f>
      </x:c>
      <x:c r="I1008" s="88" t="str">
        <x:f>IF(C1008="","",MAX(0,ROUND(D1008+E1008-F1008-G1008-H1008,2)))</x:f>
      </x:c>
      <x:c r="J1008" s="88" t="str">
        <x:f>IF(C1008="","",F1008+G1008+H1008)</x:f>
      </x:c>
      <x:c r="K1008" s="88" t="str">
        <x:f>IF(C1008="","",MAX(0,SUMIFS(SONDERZAHLUNGEN!$E$9:$E$128,SONDERZAHLUNGEN!$B$9:$B$128,C1008,SONDERZAHLUNGEN!$C$9:$C$128,A1008,SONDERZAHLUNGEN!$H$9:$H$128,"OK",SONDERZAHLUNGEN!$F$9:$F$128,"Ja")-G1008))</x:f>
      </x:c>
    </x:row>
    <x:row r="1009" ht="19" customHeight="1">
      <x:c r="A1009" s="90" t="n">
        <x:f>MONATSBUDGET!$A$57</x:f>
        <x:v>47727</x:v>
      </x:c>
      <x:c r="B1009" t="n">
        <x:f>10</x:f>
        <x:v>10</x:v>
      </x:c>
      <x:c r="C1009" t="str">
        <x:f>IF($N$18="","",$N$18)</x:f>
      </x:c>
      <x:c r="D1009" s="88" t="str">
        <x:f>IF(C1009="","",I989)</x:f>
      </x:c>
      <x:c r="E1009" s="88" t="str">
        <x:f>IF(C1009="","",ROUND(D1009*$P$18/12,2))</x:f>
      </x:c>
      <x:c r="F1009" s="88" t="str">
        <x:f>IF(C1009="","",MIN(D1009+E1009,$Q$18))</x:f>
      </x:c>
      <x:c r="G1009" s="88" t="str">
        <x:f>IF(C1009="","",MIN(MAX(0,D1009+E1009-F1009),SUMIFS(SONDERZAHLUNGEN!$E$9:$E$128,SONDERZAHLUNGEN!$B$9:$B$128,C1009,SONDERZAHLUNGEN!$C$9:$C$128,A1009,SONDERZAHLUNGEN!$H$9:$H$128,"OK",SONDERZAHLUNGEN!$F$9:$F$128,"Ja")))</x:f>
      </x:c>
      <x:c r="H1009" s="88" t="str">
        <x:f>IF(C1009="","",MIN(MAX(0,D1009+E1009-F1009-G1009),MAX(0,IF(MONATSBUDGET!$C$57="",0,MONATSBUDGET!$C$57)-SUM(F1000:F1019)-SUM(H1000:H1008))))</x:f>
      </x:c>
      <x:c r="I1009" s="88" t="str">
        <x:f>IF(C1009="","",MAX(0,ROUND(D1009+E1009-F1009-G1009-H1009,2)))</x:f>
      </x:c>
      <x:c r="J1009" s="88" t="str">
        <x:f>IF(C1009="","",F1009+G1009+H1009)</x:f>
      </x:c>
      <x:c r="K1009" s="88" t="str">
        <x:f>IF(C1009="","",MAX(0,SUMIFS(SONDERZAHLUNGEN!$E$9:$E$128,SONDERZAHLUNGEN!$B$9:$B$128,C1009,SONDERZAHLUNGEN!$C$9:$C$128,A1009,SONDERZAHLUNGEN!$H$9:$H$128,"OK",SONDERZAHLUNGEN!$F$9:$F$128,"Ja")-G1009))</x:f>
      </x:c>
    </x:row>
    <x:row r="1010" ht="19" customHeight="1">
      <x:c r="A1010" s="90" t="n">
        <x:f>MONATSBUDGET!$A$57</x:f>
        <x:v>47727</x:v>
      </x:c>
      <x:c r="B1010" t="n">
        <x:f>11</x:f>
        <x:v>11</x:v>
      </x:c>
      <x:c r="C1010" t="str">
        <x:f>IF($N$19="","",$N$19)</x:f>
      </x:c>
      <x:c r="D1010" s="88" t="str">
        <x:f>IF(C1010="","",I990)</x:f>
      </x:c>
      <x:c r="E1010" s="88" t="str">
        <x:f>IF(C1010="","",ROUND(D1010*$P$19/12,2))</x:f>
      </x:c>
      <x:c r="F1010" s="88" t="str">
        <x:f>IF(C1010="","",MIN(D1010+E1010,$Q$19))</x:f>
      </x:c>
      <x:c r="G1010" s="88" t="str">
        <x:f>IF(C1010="","",MIN(MAX(0,D1010+E1010-F1010),SUMIFS(SONDERZAHLUNGEN!$E$9:$E$128,SONDERZAHLUNGEN!$B$9:$B$128,C1010,SONDERZAHLUNGEN!$C$9:$C$128,A1010,SONDERZAHLUNGEN!$H$9:$H$128,"OK",SONDERZAHLUNGEN!$F$9:$F$128,"Ja")))</x:f>
      </x:c>
      <x:c r="H1010" s="88" t="str">
        <x:f>IF(C1010="","",MIN(MAX(0,D1010+E1010-F1010-G1010),MAX(0,IF(MONATSBUDGET!$C$57="",0,MONATSBUDGET!$C$57)-SUM(F1000:F1019)-SUM(H1000:H1009))))</x:f>
      </x:c>
      <x:c r="I1010" s="88" t="str">
        <x:f>IF(C1010="","",MAX(0,ROUND(D1010+E1010-F1010-G1010-H1010,2)))</x:f>
      </x:c>
      <x:c r="J1010" s="88" t="str">
        <x:f>IF(C1010="","",F1010+G1010+H1010)</x:f>
      </x:c>
      <x:c r="K1010" s="88" t="str">
        <x:f>IF(C1010="","",MAX(0,SUMIFS(SONDERZAHLUNGEN!$E$9:$E$128,SONDERZAHLUNGEN!$B$9:$B$128,C1010,SONDERZAHLUNGEN!$C$9:$C$128,A1010,SONDERZAHLUNGEN!$H$9:$H$128,"OK",SONDERZAHLUNGEN!$F$9:$F$128,"Ja")-G1010))</x:f>
      </x:c>
    </x:row>
    <x:row r="1011" ht="19" customHeight="1">
      <x:c r="A1011" s="90" t="n">
        <x:f>MONATSBUDGET!$A$57</x:f>
        <x:v>47727</x:v>
      </x:c>
      <x:c r="B1011" t="n">
        <x:f>12</x:f>
        <x:v>12</x:v>
      </x:c>
      <x:c r="C1011" t="str">
        <x:f>IF($N$20="","",$N$20)</x:f>
      </x:c>
      <x:c r="D1011" s="88" t="str">
        <x:f>IF(C1011="","",I991)</x:f>
      </x:c>
      <x:c r="E1011" s="88" t="str">
        <x:f>IF(C1011="","",ROUND(D1011*$P$20/12,2))</x:f>
      </x:c>
      <x:c r="F1011" s="88" t="str">
        <x:f>IF(C1011="","",MIN(D1011+E1011,$Q$20))</x:f>
      </x:c>
      <x:c r="G1011" s="88" t="str">
        <x:f>IF(C1011="","",MIN(MAX(0,D1011+E1011-F1011),SUMIFS(SONDERZAHLUNGEN!$E$9:$E$128,SONDERZAHLUNGEN!$B$9:$B$128,C1011,SONDERZAHLUNGEN!$C$9:$C$128,A1011,SONDERZAHLUNGEN!$H$9:$H$128,"OK",SONDERZAHLUNGEN!$F$9:$F$128,"Ja")))</x:f>
      </x:c>
      <x:c r="H1011" s="88" t="str">
        <x:f>IF(C1011="","",MIN(MAX(0,D1011+E1011-F1011-G1011),MAX(0,IF(MONATSBUDGET!$C$57="",0,MONATSBUDGET!$C$57)-SUM(F1000:F1019)-SUM(H1000:H1010))))</x:f>
      </x:c>
      <x:c r="I1011" s="88" t="str">
        <x:f>IF(C1011="","",MAX(0,ROUND(D1011+E1011-F1011-G1011-H1011,2)))</x:f>
      </x:c>
      <x:c r="J1011" s="88" t="str">
        <x:f>IF(C1011="","",F1011+G1011+H1011)</x:f>
      </x:c>
      <x:c r="K1011" s="88" t="str">
        <x:f>IF(C1011="","",MAX(0,SUMIFS(SONDERZAHLUNGEN!$E$9:$E$128,SONDERZAHLUNGEN!$B$9:$B$128,C1011,SONDERZAHLUNGEN!$C$9:$C$128,A1011,SONDERZAHLUNGEN!$H$9:$H$128,"OK",SONDERZAHLUNGEN!$F$9:$F$128,"Ja")-G1011))</x:f>
      </x:c>
    </x:row>
    <x:row r="1012" ht="19" customHeight="1">
      <x:c r="A1012" s="90" t="n">
        <x:f>MONATSBUDGET!$A$57</x:f>
        <x:v>47727</x:v>
      </x:c>
      <x:c r="B1012" t="n">
        <x:f>13</x:f>
        <x:v>13</x:v>
      </x:c>
      <x:c r="C1012" t="str">
        <x:f>IF($N$21="","",$N$21)</x:f>
      </x:c>
      <x:c r="D1012" s="88" t="str">
        <x:f>IF(C1012="","",I992)</x:f>
      </x:c>
      <x:c r="E1012" s="88" t="str">
        <x:f>IF(C1012="","",ROUND(D1012*$P$21/12,2))</x:f>
      </x:c>
      <x:c r="F1012" s="88" t="str">
        <x:f>IF(C1012="","",MIN(D1012+E1012,$Q$21))</x:f>
      </x:c>
      <x:c r="G1012" s="88" t="str">
        <x:f>IF(C1012="","",MIN(MAX(0,D1012+E1012-F1012),SUMIFS(SONDERZAHLUNGEN!$E$9:$E$128,SONDERZAHLUNGEN!$B$9:$B$128,C1012,SONDERZAHLUNGEN!$C$9:$C$128,A1012,SONDERZAHLUNGEN!$H$9:$H$128,"OK",SONDERZAHLUNGEN!$F$9:$F$128,"Ja")))</x:f>
      </x:c>
      <x:c r="H1012" s="88" t="str">
        <x:f>IF(C1012="","",MIN(MAX(0,D1012+E1012-F1012-G1012),MAX(0,IF(MONATSBUDGET!$C$57="",0,MONATSBUDGET!$C$57)-SUM(F1000:F1019)-SUM(H1000:H1011))))</x:f>
      </x:c>
      <x:c r="I1012" s="88" t="str">
        <x:f>IF(C1012="","",MAX(0,ROUND(D1012+E1012-F1012-G1012-H1012,2)))</x:f>
      </x:c>
      <x:c r="J1012" s="88" t="str">
        <x:f>IF(C1012="","",F1012+G1012+H1012)</x:f>
      </x:c>
      <x:c r="K1012" s="88" t="str">
        <x:f>IF(C1012="","",MAX(0,SUMIFS(SONDERZAHLUNGEN!$E$9:$E$128,SONDERZAHLUNGEN!$B$9:$B$128,C1012,SONDERZAHLUNGEN!$C$9:$C$128,A1012,SONDERZAHLUNGEN!$H$9:$H$128,"OK",SONDERZAHLUNGEN!$F$9:$F$128,"Ja")-G1012))</x:f>
      </x:c>
    </x:row>
    <x:row r="1013" ht="19" customHeight="1">
      <x:c r="A1013" s="90" t="n">
        <x:f>MONATSBUDGET!$A$57</x:f>
        <x:v>47727</x:v>
      </x:c>
      <x:c r="B1013" t="n">
        <x:f>14</x:f>
        <x:v>14</x:v>
      </x:c>
      <x:c r="C1013" t="str">
        <x:f>IF($N$22="","",$N$22)</x:f>
      </x:c>
      <x:c r="D1013" s="88" t="str">
        <x:f>IF(C1013="","",I993)</x:f>
      </x:c>
      <x:c r="E1013" s="88" t="str">
        <x:f>IF(C1013="","",ROUND(D1013*$P$22/12,2))</x:f>
      </x:c>
      <x:c r="F1013" s="88" t="str">
        <x:f>IF(C1013="","",MIN(D1013+E1013,$Q$22))</x:f>
      </x:c>
      <x:c r="G1013" s="88" t="str">
        <x:f>IF(C1013="","",MIN(MAX(0,D1013+E1013-F1013),SUMIFS(SONDERZAHLUNGEN!$E$9:$E$128,SONDERZAHLUNGEN!$B$9:$B$128,C1013,SONDERZAHLUNGEN!$C$9:$C$128,A1013,SONDERZAHLUNGEN!$H$9:$H$128,"OK",SONDERZAHLUNGEN!$F$9:$F$128,"Ja")))</x:f>
      </x:c>
      <x:c r="H1013" s="88" t="str">
        <x:f>IF(C1013="","",MIN(MAX(0,D1013+E1013-F1013-G1013),MAX(0,IF(MONATSBUDGET!$C$57="",0,MONATSBUDGET!$C$57)-SUM(F1000:F1019)-SUM(H1000:H1012))))</x:f>
      </x:c>
      <x:c r="I1013" s="88" t="str">
        <x:f>IF(C1013="","",MAX(0,ROUND(D1013+E1013-F1013-G1013-H1013,2)))</x:f>
      </x:c>
      <x:c r="J1013" s="88" t="str">
        <x:f>IF(C1013="","",F1013+G1013+H1013)</x:f>
      </x:c>
      <x:c r="K1013" s="88" t="str">
        <x:f>IF(C1013="","",MAX(0,SUMIFS(SONDERZAHLUNGEN!$E$9:$E$128,SONDERZAHLUNGEN!$B$9:$B$128,C1013,SONDERZAHLUNGEN!$C$9:$C$128,A1013,SONDERZAHLUNGEN!$H$9:$H$128,"OK",SONDERZAHLUNGEN!$F$9:$F$128,"Ja")-G1013))</x:f>
      </x:c>
    </x:row>
    <x:row r="1014" ht="19" customHeight="1">
      <x:c r="A1014" s="90" t="n">
        <x:f>MONATSBUDGET!$A$57</x:f>
        <x:v>47727</x:v>
      </x:c>
      <x:c r="B1014" t="n">
        <x:f>15</x:f>
        <x:v>15</x:v>
      </x:c>
      <x:c r="C1014" t="str">
        <x:f>IF($N$23="","",$N$23)</x:f>
      </x:c>
      <x:c r="D1014" s="88" t="str">
        <x:f>IF(C1014="","",I994)</x:f>
      </x:c>
      <x:c r="E1014" s="88" t="str">
        <x:f>IF(C1014="","",ROUND(D1014*$P$23/12,2))</x:f>
      </x:c>
      <x:c r="F1014" s="88" t="str">
        <x:f>IF(C1014="","",MIN(D1014+E1014,$Q$23))</x:f>
      </x:c>
      <x:c r="G1014" s="88" t="str">
        <x:f>IF(C1014="","",MIN(MAX(0,D1014+E1014-F1014),SUMIFS(SONDERZAHLUNGEN!$E$9:$E$128,SONDERZAHLUNGEN!$B$9:$B$128,C1014,SONDERZAHLUNGEN!$C$9:$C$128,A1014,SONDERZAHLUNGEN!$H$9:$H$128,"OK",SONDERZAHLUNGEN!$F$9:$F$128,"Ja")))</x:f>
      </x:c>
      <x:c r="H1014" s="88" t="str">
        <x:f>IF(C1014="","",MIN(MAX(0,D1014+E1014-F1014-G1014),MAX(0,IF(MONATSBUDGET!$C$57="",0,MONATSBUDGET!$C$57)-SUM(F1000:F1019)-SUM(H1000:H1013))))</x:f>
      </x:c>
      <x:c r="I1014" s="88" t="str">
        <x:f>IF(C1014="","",MAX(0,ROUND(D1014+E1014-F1014-G1014-H1014,2)))</x:f>
      </x:c>
      <x:c r="J1014" s="88" t="str">
        <x:f>IF(C1014="","",F1014+G1014+H1014)</x:f>
      </x:c>
      <x:c r="K1014" s="88" t="str">
        <x:f>IF(C1014="","",MAX(0,SUMIFS(SONDERZAHLUNGEN!$E$9:$E$128,SONDERZAHLUNGEN!$B$9:$B$128,C1014,SONDERZAHLUNGEN!$C$9:$C$128,A1014,SONDERZAHLUNGEN!$H$9:$H$128,"OK",SONDERZAHLUNGEN!$F$9:$F$128,"Ja")-G1014))</x:f>
      </x:c>
    </x:row>
    <x:row r="1015" ht="19" customHeight="1">
      <x:c r="A1015" s="90" t="n">
        <x:f>MONATSBUDGET!$A$57</x:f>
        <x:v>47727</x:v>
      </x:c>
      <x:c r="B1015" t="n">
        <x:f>16</x:f>
        <x:v>16</x:v>
      </x:c>
      <x:c r="C1015" t="str">
        <x:f>IF($N$24="","",$N$24)</x:f>
      </x:c>
      <x:c r="D1015" s="88" t="str">
        <x:f>IF(C1015="","",I995)</x:f>
      </x:c>
      <x:c r="E1015" s="88" t="str">
        <x:f>IF(C1015="","",ROUND(D1015*$P$24/12,2))</x:f>
      </x:c>
      <x:c r="F1015" s="88" t="str">
        <x:f>IF(C1015="","",MIN(D1015+E1015,$Q$24))</x:f>
      </x:c>
      <x:c r="G1015" s="88" t="str">
        <x:f>IF(C1015="","",MIN(MAX(0,D1015+E1015-F1015),SUMIFS(SONDERZAHLUNGEN!$E$9:$E$128,SONDERZAHLUNGEN!$B$9:$B$128,C1015,SONDERZAHLUNGEN!$C$9:$C$128,A1015,SONDERZAHLUNGEN!$H$9:$H$128,"OK",SONDERZAHLUNGEN!$F$9:$F$128,"Ja")))</x:f>
      </x:c>
      <x:c r="H1015" s="88" t="str">
        <x:f>IF(C1015="","",MIN(MAX(0,D1015+E1015-F1015-G1015),MAX(0,IF(MONATSBUDGET!$C$57="",0,MONATSBUDGET!$C$57)-SUM(F1000:F1019)-SUM(H1000:H1014))))</x:f>
      </x:c>
      <x:c r="I1015" s="88" t="str">
        <x:f>IF(C1015="","",MAX(0,ROUND(D1015+E1015-F1015-G1015-H1015,2)))</x:f>
      </x:c>
      <x:c r="J1015" s="88" t="str">
        <x:f>IF(C1015="","",F1015+G1015+H1015)</x:f>
      </x:c>
      <x:c r="K1015" s="88" t="str">
        <x:f>IF(C1015="","",MAX(0,SUMIFS(SONDERZAHLUNGEN!$E$9:$E$128,SONDERZAHLUNGEN!$B$9:$B$128,C1015,SONDERZAHLUNGEN!$C$9:$C$128,A1015,SONDERZAHLUNGEN!$H$9:$H$128,"OK",SONDERZAHLUNGEN!$F$9:$F$128,"Ja")-G1015))</x:f>
      </x:c>
    </x:row>
    <x:row r="1016" ht="19" customHeight="1">
      <x:c r="A1016" s="90" t="n">
        <x:f>MONATSBUDGET!$A$57</x:f>
        <x:v>47727</x:v>
      </x:c>
      <x:c r="B1016" t="n">
        <x:f>17</x:f>
        <x:v>17</x:v>
      </x:c>
      <x:c r="C1016" t="str">
        <x:f>IF($N$25="","",$N$25)</x:f>
      </x:c>
      <x:c r="D1016" s="88" t="str">
        <x:f>IF(C1016="","",I996)</x:f>
      </x:c>
      <x:c r="E1016" s="88" t="str">
        <x:f>IF(C1016="","",ROUND(D1016*$P$25/12,2))</x:f>
      </x:c>
      <x:c r="F1016" s="88" t="str">
        <x:f>IF(C1016="","",MIN(D1016+E1016,$Q$25))</x:f>
      </x:c>
      <x:c r="G1016" s="88" t="str">
        <x:f>IF(C1016="","",MIN(MAX(0,D1016+E1016-F1016),SUMIFS(SONDERZAHLUNGEN!$E$9:$E$128,SONDERZAHLUNGEN!$B$9:$B$128,C1016,SONDERZAHLUNGEN!$C$9:$C$128,A1016,SONDERZAHLUNGEN!$H$9:$H$128,"OK",SONDERZAHLUNGEN!$F$9:$F$128,"Ja")))</x:f>
      </x:c>
      <x:c r="H1016" s="88" t="str">
        <x:f>IF(C1016="","",MIN(MAX(0,D1016+E1016-F1016-G1016),MAX(0,IF(MONATSBUDGET!$C$57="",0,MONATSBUDGET!$C$57)-SUM(F1000:F1019)-SUM(H1000:H1015))))</x:f>
      </x:c>
      <x:c r="I1016" s="88" t="str">
        <x:f>IF(C1016="","",MAX(0,ROUND(D1016+E1016-F1016-G1016-H1016,2)))</x:f>
      </x:c>
      <x:c r="J1016" s="88" t="str">
        <x:f>IF(C1016="","",F1016+G1016+H1016)</x:f>
      </x:c>
      <x:c r="K1016" s="88" t="str">
        <x:f>IF(C1016="","",MAX(0,SUMIFS(SONDERZAHLUNGEN!$E$9:$E$128,SONDERZAHLUNGEN!$B$9:$B$128,C1016,SONDERZAHLUNGEN!$C$9:$C$128,A1016,SONDERZAHLUNGEN!$H$9:$H$128,"OK",SONDERZAHLUNGEN!$F$9:$F$128,"Ja")-G1016))</x:f>
      </x:c>
    </x:row>
    <x:row r="1017" ht="19" customHeight="1">
      <x:c r="A1017" s="90" t="n">
        <x:f>MONATSBUDGET!$A$57</x:f>
        <x:v>47727</x:v>
      </x:c>
      <x:c r="B1017" t="n">
        <x:f>18</x:f>
        <x:v>18</x:v>
      </x:c>
      <x:c r="C1017" t="str">
        <x:f>IF($N$26="","",$N$26)</x:f>
      </x:c>
      <x:c r="D1017" s="88" t="str">
        <x:f>IF(C1017="","",I997)</x:f>
      </x:c>
      <x:c r="E1017" s="88" t="str">
        <x:f>IF(C1017="","",ROUND(D1017*$P$26/12,2))</x:f>
      </x:c>
      <x:c r="F1017" s="88" t="str">
        <x:f>IF(C1017="","",MIN(D1017+E1017,$Q$26))</x:f>
      </x:c>
      <x:c r="G1017" s="88" t="str">
        <x:f>IF(C1017="","",MIN(MAX(0,D1017+E1017-F1017),SUMIFS(SONDERZAHLUNGEN!$E$9:$E$128,SONDERZAHLUNGEN!$B$9:$B$128,C1017,SONDERZAHLUNGEN!$C$9:$C$128,A1017,SONDERZAHLUNGEN!$H$9:$H$128,"OK",SONDERZAHLUNGEN!$F$9:$F$128,"Ja")))</x:f>
      </x:c>
      <x:c r="H1017" s="88" t="str">
        <x:f>IF(C1017="","",MIN(MAX(0,D1017+E1017-F1017-G1017),MAX(0,IF(MONATSBUDGET!$C$57="",0,MONATSBUDGET!$C$57)-SUM(F1000:F1019)-SUM(H1000:H1016))))</x:f>
      </x:c>
      <x:c r="I1017" s="88" t="str">
        <x:f>IF(C1017="","",MAX(0,ROUND(D1017+E1017-F1017-G1017-H1017,2)))</x:f>
      </x:c>
      <x:c r="J1017" s="88" t="str">
        <x:f>IF(C1017="","",F1017+G1017+H1017)</x:f>
      </x:c>
      <x:c r="K1017" s="88" t="str">
        <x:f>IF(C1017="","",MAX(0,SUMIFS(SONDERZAHLUNGEN!$E$9:$E$128,SONDERZAHLUNGEN!$B$9:$B$128,C1017,SONDERZAHLUNGEN!$C$9:$C$128,A1017,SONDERZAHLUNGEN!$H$9:$H$128,"OK",SONDERZAHLUNGEN!$F$9:$F$128,"Ja")-G1017))</x:f>
      </x:c>
    </x:row>
    <x:row r="1018" ht="19" customHeight="1">
      <x:c r="A1018" s="90" t="n">
        <x:f>MONATSBUDGET!$A$57</x:f>
        <x:v>47727</x:v>
      </x:c>
      <x:c r="B1018" t="n">
        <x:f>19</x:f>
        <x:v>19</x:v>
      </x:c>
      <x:c r="C1018" t="str">
        <x:f>IF($N$27="","",$N$27)</x:f>
      </x:c>
      <x:c r="D1018" s="88" t="str">
        <x:f>IF(C1018="","",I998)</x:f>
      </x:c>
      <x:c r="E1018" s="88" t="str">
        <x:f>IF(C1018="","",ROUND(D1018*$P$27/12,2))</x:f>
      </x:c>
      <x:c r="F1018" s="88" t="str">
        <x:f>IF(C1018="","",MIN(D1018+E1018,$Q$27))</x:f>
      </x:c>
      <x:c r="G1018" s="88" t="str">
        <x:f>IF(C1018="","",MIN(MAX(0,D1018+E1018-F1018),SUMIFS(SONDERZAHLUNGEN!$E$9:$E$128,SONDERZAHLUNGEN!$B$9:$B$128,C1018,SONDERZAHLUNGEN!$C$9:$C$128,A1018,SONDERZAHLUNGEN!$H$9:$H$128,"OK",SONDERZAHLUNGEN!$F$9:$F$128,"Ja")))</x:f>
      </x:c>
      <x:c r="H1018" s="88" t="str">
        <x:f>IF(C1018="","",MIN(MAX(0,D1018+E1018-F1018-G1018),MAX(0,IF(MONATSBUDGET!$C$57="",0,MONATSBUDGET!$C$57)-SUM(F1000:F1019)-SUM(H1000:H1017))))</x:f>
      </x:c>
      <x:c r="I1018" s="88" t="str">
        <x:f>IF(C1018="","",MAX(0,ROUND(D1018+E1018-F1018-G1018-H1018,2)))</x:f>
      </x:c>
      <x:c r="J1018" s="88" t="str">
        <x:f>IF(C1018="","",F1018+G1018+H1018)</x:f>
      </x:c>
      <x:c r="K1018" s="88" t="str">
        <x:f>IF(C1018="","",MAX(0,SUMIFS(SONDERZAHLUNGEN!$E$9:$E$128,SONDERZAHLUNGEN!$B$9:$B$128,C1018,SONDERZAHLUNGEN!$C$9:$C$128,A1018,SONDERZAHLUNGEN!$H$9:$H$128,"OK",SONDERZAHLUNGEN!$F$9:$F$128,"Ja")-G1018))</x:f>
      </x:c>
    </x:row>
    <x:row r="1019" ht="19" customHeight="1">
      <x:c r="A1019" s="90" t="n">
        <x:f>MONATSBUDGET!$A$57</x:f>
        <x:v>47727</x:v>
      </x:c>
      <x:c r="B1019" t="n">
        <x:f>20</x:f>
        <x:v>20</x:v>
      </x:c>
      <x:c r="C1019" t="str">
        <x:f>IF($N$28="","",$N$28)</x:f>
      </x:c>
      <x:c r="D1019" s="88" t="str">
        <x:f>IF(C1019="","",I999)</x:f>
      </x:c>
      <x:c r="E1019" s="88" t="str">
        <x:f>IF(C1019="","",ROUND(D1019*$P$28/12,2))</x:f>
      </x:c>
      <x:c r="F1019" s="88" t="str">
        <x:f>IF(C1019="","",MIN(D1019+E1019,$Q$28))</x:f>
      </x:c>
      <x:c r="G1019" s="88" t="str">
        <x:f>IF(C1019="","",MIN(MAX(0,D1019+E1019-F1019),SUMIFS(SONDERZAHLUNGEN!$E$9:$E$128,SONDERZAHLUNGEN!$B$9:$B$128,C1019,SONDERZAHLUNGEN!$C$9:$C$128,A1019,SONDERZAHLUNGEN!$H$9:$H$128,"OK",SONDERZAHLUNGEN!$F$9:$F$128,"Ja")))</x:f>
      </x:c>
      <x:c r="H1019" s="88" t="str">
        <x:f>IF(C1019="","",MIN(MAX(0,D1019+E1019-F1019-G1019),MAX(0,IF(MONATSBUDGET!$C$57="",0,MONATSBUDGET!$C$57)-SUM(F1000:F1019)-SUM(H1000:H1018))))</x:f>
      </x:c>
      <x:c r="I1019" s="88" t="str">
        <x:f>IF(C1019="","",MAX(0,ROUND(D1019+E1019-F1019-G1019-H1019,2)))</x:f>
      </x:c>
      <x:c r="J1019" s="88" t="str">
        <x:f>IF(C1019="","",F1019+G1019+H1019)</x:f>
      </x:c>
      <x:c r="K1019" s="88" t="str">
        <x:f>IF(C1019="","",MAX(0,SUMIFS(SONDERZAHLUNGEN!$E$9:$E$128,SONDERZAHLUNGEN!$B$9:$B$128,C1019,SONDERZAHLUNGEN!$C$9:$C$128,A1019,SONDERZAHLUNGEN!$H$9:$H$128,"OK",SONDERZAHLUNGEN!$F$9:$F$128,"Ja")-G1019))</x:f>
      </x:c>
    </x:row>
    <x:row r="1020" ht="19" customHeight="1">
      <x:c r="A1020" s="90" t="n">
        <x:f>MONATSBUDGET!$A$58</x:f>
        <x:v>47757</x:v>
      </x:c>
      <x:c r="B1020" t="n">
        <x:f>1</x:f>
        <x:v>1</x:v>
      </x:c>
      <x:c r="C1020" t="str">
        <x:f>IF($N$9="","",$N$9)</x:f>
      </x:c>
      <x:c r="D1020" s="88" t="str">
        <x:f>IF(C1020="","",I1000)</x:f>
      </x:c>
      <x:c r="E1020" s="88" t="str">
        <x:f>IF(C1020="","",ROUND(D1020*$P$9/12,2))</x:f>
      </x:c>
      <x:c r="F1020" s="88" t="str">
        <x:f>IF(C1020="","",MIN(D1020+E1020,$Q$9))</x:f>
      </x:c>
      <x:c r="G1020" s="88" t="str">
        <x:f>IF(C1020="","",MIN(MAX(0,D1020+E1020-F1020),SUMIFS(SONDERZAHLUNGEN!$E$9:$E$128,SONDERZAHLUNGEN!$B$9:$B$128,C1020,SONDERZAHLUNGEN!$C$9:$C$128,A1020,SONDERZAHLUNGEN!$H$9:$H$128,"OK",SONDERZAHLUNGEN!$F$9:$F$128,"Ja")))</x:f>
      </x:c>
      <x:c r="H1020" s="88" t="str">
        <x:f>IF(C1020="","",MIN(MAX(0,D1020+E1020-F1020-G1020),MAX(0,IF(MONATSBUDGET!$C$58="",0,MONATSBUDGET!$C$58)-SUM(F1020:F1039)-0)))</x:f>
      </x:c>
      <x:c r="I1020" s="88" t="str">
        <x:f>IF(C1020="","",MAX(0,ROUND(D1020+E1020-F1020-G1020-H1020,2)))</x:f>
      </x:c>
      <x:c r="J1020" s="88" t="str">
        <x:f>IF(C1020="","",F1020+G1020+H1020)</x:f>
      </x:c>
      <x:c r="K1020" s="88" t="str">
        <x:f>IF(C1020="","",MAX(0,SUMIFS(SONDERZAHLUNGEN!$E$9:$E$128,SONDERZAHLUNGEN!$B$9:$B$128,C1020,SONDERZAHLUNGEN!$C$9:$C$128,A1020,SONDERZAHLUNGEN!$H$9:$H$128,"OK",SONDERZAHLUNGEN!$F$9:$F$128,"Ja")-G1020))</x:f>
      </x:c>
    </x:row>
    <x:row r="1021" ht="19" customHeight="1">
      <x:c r="A1021" s="90" t="n">
        <x:f>MONATSBUDGET!$A$58</x:f>
        <x:v>47757</x:v>
      </x:c>
      <x:c r="B1021" t="n">
        <x:f>2</x:f>
        <x:v>2</x:v>
      </x:c>
      <x:c r="C1021" t="str">
        <x:f>IF($N$10="","",$N$10)</x:f>
      </x:c>
      <x:c r="D1021" s="88" t="str">
        <x:f>IF(C1021="","",I1001)</x:f>
      </x:c>
      <x:c r="E1021" s="88" t="str">
        <x:f>IF(C1021="","",ROUND(D1021*$P$10/12,2))</x:f>
      </x:c>
      <x:c r="F1021" s="88" t="str">
        <x:f>IF(C1021="","",MIN(D1021+E1021,$Q$10))</x:f>
      </x:c>
      <x:c r="G1021" s="88" t="str">
        <x:f>IF(C1021="","",MIN(MAX(0,D1021+E1021-F1021),SUMIFS(SONDERZAHLUNGEN!$E$9:$E$128,SONDERZAHLUNGEN!$B$9:$B$128,C1021,SONDERZAHLUNGEN!$C$9:$C$128,A1021,SONDERZAHLUNGEN!$H$9:$H$128,"OK",SONDERZAHLUNGEN!$F$9:$F$128,"Ja")))</x:f>
      </x:c>
      <x:c r="H1021" s="88" t="str">
        <x:f>IF(C1021="","",MIN(MAX(0,D1021+E1021-F1021-G1021),MAX(0,IF(MONATSBUDGET!$C$58="",0,MONATSBUDGET!$C$58)-SUM(F1020:F1039)-SUM(H1020:H1020))))</x:f>
      </x:c>
      <x:c r="I1021" s="88" t="str">
        <x:f>IF(C1021="","",MAX(0,ROUND(D1021+E1021-F1021-G1021-H1021,2)))</x:f>
      </x:c>
      <x:c r="J1021" s="88" t="str">
        <x:f>IF(C1021="","",F1021+G1021+H1021)</x:f>
      </x:c>
      <x:c r="K1021" s="88" t="str">
        <x:f>IF(C1021="","",MAX(0,SUMIFS(SONDERZAHLUNGEN!$E$9:$E$128,SONDERZAHLUNGEN!$B$9:$B$128,C1021,SONDERZAHLUNGEN!$C$9:$C$128,A1021,SONDERZAHLUNGEN!$H$9:$H$128,"OK",SONDERZAHLUNGEN!$F$9:$F$128,"Ja")-G1021))</x:f>
      </x:c>
    </x:row>
    <x:row r="1022" ht="19" customHeight="1">
      <x:c r="A1022" s="90" t="n">
        <x:f>MONATSBUDGET!$A$58</x:f>
        <x:v>47757</x:v>
      </x:c>
      <x:c r="B1022" t="n">
        <x:f>3</x:f>
        <x:v>3</x:v>
      </x:c>
      <x:c r="C1022" t="str">
        <x:f>IF($N$11="","",$N$11)</x:f>
      </x:c>
      <x:c r="D1022" s="88" t="str">
        <x:f>IF(C1022="","",I1002)</x:f>
      </x:c>
      <x:c r="E1022" s="88" t="str">
        <x:f>IF(C1022="","",ROUND(D1022*$P$11/12,2))</x:f>
      </x:c>
      <x:c r="F1022" s="88" t="str">
        <x:f>IF(C1022="","",MIN(D1022+E1022,$Q$11))</x:f>
      </x:c>
      <x:c r="G1022" s="88" t="str">
        <x:f>IF(C1022="","",MIN(MAX(0,D1022+E1022-F1022),SUMIFS(SONDERZAHLUNGEN!$E$9:$E$128,SONDERZAHLUNGEN!$B$9:$B$128,C1022,SONDERZAHLUNGEN!$C$9:$C$128,A1022,SONDERZAHLUNGEN!$H$9:$H$128,"OK",SONDERZAHLUNGEN!$F$9:$F$128,"Ja")))</x:f>
      </x:c>
      <x:c r="H1022" s="88" t="str">
        <x:f>IF(C1022="","",MIN(MAX(0,D1022+E1022-F1022-G1022),MAX(0,IF(MONATSBUDGET!$C$58="",0,MONATSBUDGET!$C$58)-SUM(F1020:F1039)-SUM(H1020:H1021))))</x:f>
      </x:c>
      <x:c r="I1022" s="88" t="str">
        <x:f>IF(C1022="","",MAX(0,ROUND(D1022+E1022-F1022-G1022-H1022,2)))</x:f>
      </x:c>
      <x:c r="J1022" s="88" t="str">
        <x:f>IF(C1022="","",F1022+G1022+H1022)</x:f>
      </x:c>
      <x:c r="K1022" s="88" t="str">
        <x:f>IF(C1022="","",MAX(0,SUMIFS(SONDERZAHLUNGEN!$E$9:$E$128,SONDERZAHLUNGEN!$B$9:$B$128,C1022,SONDERZAHLUNGEN!$C$9:$C$128,A1022,SONDERZAHLUNGEN!$H$9:$H$128,"OK",SONDERZAHLUNGEN!$F$9:$F$128,"Ja")-G1022))</x:f>
      </x:c>
    </x:row>
    <x:row r="1023" ht="19" customHeight="1">
      <x:c r="A1023" s="90" t="n">
        <x:f>MONATSBUDGET!$A$58</x:f>
        <x:v>47757</x:v>
      </x:c>
      <x:c r="B1023" t="n">
        <x:f>4</x:f>
        <x:v>4</x:v>
      </x:c>
      <x:c r="C1023" t="str">
        <x:f>IF($N$12="","",$N$12)</x:f>
      </x:c>
      <x:c r="D1023" s="88" t="str">
        <x:f>IF(C1023="","",I1003)</x:f>
      </x:c>
      <x:c r="E1023" s="88" t="str">
        <x:f>IF(C1023="","",ROUND(D1023*$P$12/12,2))</x:f>
      </x:c>
      <x:c r="F1023" s="88" t="str">
        <x:f>IF(C1023="","",MIN(D1023+E1023,$Q$12))</x:f>
      </x:c>
      <x:c r="G1023" s="88" t="str">
        <x:f>IF(C1023="","",MIN(MAX(0,D1023+E1023-F1023),SUMIFS(SONDERZAHLUNGEN!$E$9:$E$128,SONDERZAHLUNGEN!$B$9:$B$128,C1023,SONDERZAHLUNGEN!$C$9:$C$128,A1023,SONDERZAHLUNGEN!$H$9:$H$128,"OK",SONDERZAHLUNGEN!$F$9:$F$128,"Ja")))</x:f>
      </x:c>
      <x:c r="H1023" s="88" t="str">
        <x:f>IF(C1023="","",MIN(MAX(0,D1023+E1023-F1023-G1023),MAX(0,IF(MONATSBUDGET!$C$58="",0,MONATSBUDGET!$C$58)-SUM(F1020:F1039)-SUM(H1020:H1022))))</x:f>
      </x:c>
      <x:c r="I1023" s="88" t="str">
        <x:f>IF(C1023="","",MAX(0,ROUND(D1023+E1023-F1023-G1023-H1023,2)))</x:f>
      </x:c>
      <x:c r="J1023" s="88" t="str">
        <x:f>IF(C1023="","",F1023+G1023+H1023)</x:f>
      </x:c>
      <x:c r="K1023" s="88" t="str">
        <x:f>IF(C1023="","",MAX(0,SUMIFS(SONDERZAHLUNGEN!$E$9:$E$128,SONDERZAHLUNGEN!$B$9:$B$128,C1023,SONDERZAHLUNGEN!$C$9:$C$128,A1023,SONDERZAHLUNGEN!$H$9:$H$128,"OK",SONDERZAHLUNGEN!$F$9:$F$128,"Ja")-G1023))</x:f>
      </x:c>
    </x:row>
    <x:row r="1024" ht="19" customHeight="1">
      <x:c r="A1024" s="90" t="n">
        <x:f>MONATSBUDGET!$A$58</x:f>
        <x:v>47757</x:v>
      </x:c>
      <x:c r="B1024" t="n">
        <x:f>5</x:f>
        <x:v>5</x:v>
      </x:c>
      <x:c r="C1024" t="str">
        <x:f>IF($N$13="","",$N$13)</x:f>
      </x:c>
      <x:c r="D1024" s="88" t="str">
        <x:f>IF(C1024="","",I1004)</x:f>
      </x:c>
      <x:c r="E1024" s="88" t="str">
        <x:f>IF(C1024="","",ROUND(D1024*$P$13/12,2))</x:f>
      </x:c>
      <x:c r="F1024" s="88" t="str">
        <x:f>IF(C1024="","",MIN(D1024+E1024,$Q$13))</x:f>
      </x:c>
      <x:c r="G1024" s="88" t="str">
        <x:f>IF(C1024="","",MIN(MAX(0,D1024+E1024-F1024),SUMIFS(SONDERZAHLUNGEN!$E$9:$E$128,SONDERZAHLUNGEN!$B$9:$B$128,C1024,SONDERZAHLUNGEN!$C$9:$C$128,A1024,SONDERZAHLUNGEN!$H$9:$H$128,"OK",SONDERZAHLUNGEN!$F$9:$F$128,"Ja")))</x:f>
      </x:c>
      <x:c r="H1024" s="88" t="str">
        <x:f>IF(C1024="","",MIN(MAX(0,D1024+E1024-F1024-G1024),MAX(0,IF(MONATSBUDGET!$C$58="",0,MONATSBUDGET!$C$58)-SUM(F1020:F1039)-SUM(H1020:H1023))))</x:f>
      </x:c>
      <x:c r="I1024" s="88" t="str">
        <x:f>IF(C1024="","",MAX(0,ROUND(D1024+E1024-F1024-G1024-H1024,2)))</x:f>
      </x:c>
      <x:c r="J1024" s="88" t="str">
        <x:f>IF(C1024="","",F1024+G1024+H1024)</x:f>
      </x:c>
      <x:c r="K1024" s="88" t="str">
        <x:f>IF(C1024="","",MAX(0,SUMIFS(SONDERZAHLUNGEN!$E$9:$E$128,SONDERZAHLUNGEN!$B$9:$B$128,C1024,SONDERZAHLUNGEN!$C$9:$C$128,A1024,SONDERZAHLUNGEN!$H$9:$H$128,"OK",SONDERZAHLUNGEN!$F$9:$F$128,"Ja")-G1024))</x:f>
      </x:c>
    </x:row>
    <x:row r="1025" ht="19" customHeight="1">
      <x:c r="A1025" s="90" t="n">
        <x:f>MONATSBUDGET!$A$58</x:f>
        <x:v>47757</x:v>
      </x:c>
      <x:c r="B1025" t="n">
        <x:f>6</x:f>
        <x:v>6</x:v>
      </x:c>
      <x:c r="C1025" t="str">
        <x:f>IF($N$14="","",$N$14)</x:f>
      </x:c>
      <x:c r="D1025" s="88" t="str">
        <x:f>IF(C1025="","",I1005)</x:f>
      </x:c>
      <x:c r="E1025" s="88" t="str">
        <x:f>IF(C1025="","",ROUND(D1025*$P$14/12,2))</x:f>
      </x:c>
      <x:c r="F1025" s="88" t="str">
        <x:f>IF(C1025="","",MIN(D1025+E1025,$Q$14))</x:f>
      </x:c>
      <x:c r="G1025" s="88" t="str">
        <x:f>IF(C1025="","",MIN(MAX(0,D1025+E1025-F1025),SUMIFS(SONDERZAHLUNGEN!$E$9:$E$128,SONDERZAHLUNGEN!$B$9:$B$128,C1025,SONDERZAHLUNGEN!$C$9:$C$128,A1025,SONDERZAHLUNGEN!$H$9:$H$128,"OK",SONDERZAHLUNGEN!$F$9:$F$128,"Ja")))</x:f>
      </x:c>
      <x:c r="H1025" s="88" t="str">
        <x:f>IF(C1025="","",MIN(MAX(0,D1025+E1025-F1025-G1025),MAX(0,IF(MONATSBUDGET!$C$58="",0,MONATSBUDGET!$C$58)-SUM(F1020:F1039)-SUM(H1020:H1024))))</x:f>
      </x:c>
      <x:c r="I1025" s="88" t="str">
        <x:f>IF(C1025="","",MAX(0,ROUND(D1025+E1025-F1025-G1025-H1025,2)))</x:f>
      </x:c>
      <x:c r="J1025" s="88" t="str">
        <x:f>IF(C1025="","",F1025+G1025+H1025)</x:f>
      </x:c>
      <x:c r="K1025" s="88" t="str">
        <x:f>IF(C1025="","",MAX(0,SUMIFS(SONDERZAHLUNGEN!$E$9:$E$128,SONDERZAHLUNGEN!$B$9:$B$128,C1025,SONDERZAHLUNGEN!$C$9:$C$128,A1025,SONDERZAHLUNGEN!$H$9:$H$128,"OK",SONDERZAHLUNGEN!$F$9:$F$128,"Ja")-G1025))</x:f>
      </x:c>
    </x:row>
    <x:row r="1026" ht="19" customHeight="1">
      <x:c r="A1026" s="90" t="n">
        <x:f>MONATSBUDGET!$A$58</x:f>
        <x:v>47757</x:v>
      </x:c>
      <x:c r="B1026" t="n">
        <x:f>7</x:f>
        <x:v>7</x:v>
      </x:c>
      <x:c r="C1026" t="str">
        <x:f>IF($N$15="","",$N$15)</x:f>
      </x:c>
      <x:c r="D1026" s="88" t="str">
        <x:f>IF(C1026="","",I1006)</x:f>
      </x:c>
      <x:c r="E1026" s="88" t="str">
        <x:f>IF(C1026="","",ROUND(D1026*$P$15/12,2))</x:f>
      </x:c>
      <x:c r="F1026" s="88" t="str">
        <x:f>IF(C1026="","",MIN(D1026+E1026,$Q$15))</x:f>
      </x:c>
      <x:c r="G1026" s="88" t="str">
        <x:f>IF(C1026="","",MIN(MAX(0,D1026+E1026-F1026),SUMIFS(SONDERZAHLUNGEN!$E$9:$E$128,SONDERZAHLUNGEN!$B$9:$B$128,C1026,SONDERZAHLUNGEN!$C$9:$C$128,A1026,SONDERZAHLUNGEN!$H$9:$H$128,"OK",SONDERZAHLUNGEN!$F$9:$F$128,"Ja")))</x:f>
      </x:c>
      <x:c r="H1026" s="88" t="str">
        <x:f>IF(C1026="","",MIN(MAX(0,D1026+E1026-F1026-G1026),MAX(0,IF(MONATSBUDGET!$C$58="",0,MONATSBUDGET!$C$58)-SUM(F1020:F1039)-SUM(H1020:H1025))))</x:f>
      </x:c>
      <x:c r="I1026" s="88" t="str">
        <x:f>IF(C1026="","",MAX(0,ROUND(D1026+E1026-F1026-G1026-H1026,2)))</x:f>
      </x:c>
      <x:c r="J1026" s="88" t="str">
        <x:f>IF(C1026="","",F1026+G1026+H1026)</x:f>
      </x:c>
      <x:c r="K1026" s="88" t="str">
        <x:f>IF(C1026="","",MAX(0,SUMIFS(SONDERZAHLUNGEN!$E$9:$E$128,SONDERZAHLUNGEN!$B$9:$B$128,C1026,SONDERZAHLUNGEN!$C$9:$C$128,A1026,SONDERZAHLUNGEN!$H$9:$H$128,"OK",SONDERZAHLUNGEN!$F$9:$F$128,"Ja")-G1026))</x:f>
      </x:c>
    </x:row>
    <x:row r="1027" ht="19" customHeight="1">
      <x:c r="A1027" s="90" t="n">
        <x:f>MONATSBUDGET!$A$58</x:f>
        <x:v>47757</x:v>
      </x:c>
      <x:c r="B1027" t="n">
        <x:f>8</x:f>
        <x:v>8</x:v>
      </x:c>
      <x:c r="C1027" t="str">
        <x:f>IF($N$16="","",$N$16)</x:f>
      </x:c>
      <x:c r="D1027" s="88" t="str">
        <x:f>IF(C1027="","",I1007)</x:f>
      </x:c>
      <x:c r="E1027" s="88" t="str">
        <x:f>IF(C1027="","",ROUND(D1027*$P$16/12,2))</x:f>
      </x:c>
      <x:c r="F1027" s="88" t="str">
        <x:f>IF(C1027="","",MIN(D1027+E1027,$Q$16))</x:f>
      </x:c>
      <x:c r="G1027" s="88" t="str">
        <x:f>IF(C1027="","",MIN(MAX(0,D1027+E1027-F1027),SUMIFS(SONDERZAHLUNGEN!$E$9:$E$128,SONDERZAHLUNGEN!$B$9:$B$128,C1027,SONDERZAHLUNGEN!$C$9:$C$128,A1027,SONDERZAHLUNGEN!$H$9:$H$128,"OK",SONDERZAHLUNGEN!$F$9:$F$128,"Ja")))</x:f>
      </x:c>
      <x:c r="H1027" s="88" t="str">
        <x:f>IF(C1027="","",MIN(MAX(0,D1027+E1027-F1027-G1027),MAX(0,IF(MONATSBUDGET!$C$58="",0,MONATSBUDGET!$C$58)-SUM(F1020:F1039)-SUM(H1020:H1026))))</x:f>
      </x:c>
      <x:c r="I1027" s="88" t="str">
        <x:f>IF(C1027="","",MAX(0,ROUND(D1027+E1027-F1027-G1027-H1027,2)))</x:f>
      </x:c>
      <x:c r="J1027" s="88" t="str">
        <x:f>IF(C1027="","",F1027+G1027+H1027)</x:f>
      </x:c>
      <x:c r="K1027" s="88" t="str">
        <x:f>IF(C1027="","",MAX(0,SUMIFS(SONDERZAHLUNGEN!$E$9:$E$128,SONDERZAHLUNGEN!$B$9:$B$128,C1027,SONDERZAHLUNGEN!$C$9:$C$128,A1027,SONDERZAHLUNGEN!$H$9:$H$128,"OK",SONDERZAHLUNGEN!$F$9:$F$128,"Ja")-G1027))</x:f>
      </x:c>
    </x:row>
    <x:row r="1028" ht="19" customHeight="1">
      <x:c r="A1028" s="90" t="n">
        <x:f>MONATSBUDGET!$A$58</x:f>
        <x:v>47757</x:v>
      </x:c>
      <x:c r="B1028" t="n">
        <x:f>9</x:f>
        <x:v>9</x:v>
      </x:c>
      <x:c r="C1028" t="str">
        <x:f>IF($N$17="","",$N$17)</x:f>
      </x:c>
      <x:c r="D1028" s="88" t="str">
        <x:f>IF(C1028="","",I1008)</x:f>
      </x:c>
      <x:c r="E1028" s="88" t="str">
        <x:f>IF(C1028="","",ROUND(D1028*$P$17/12,2))</x:f>
      </x:c>
      <x:c r="F1028" s="88" t="str">
        <x:f>IF(C1028="","",MIN(D1028+E1028,$Q$17))</x:f>
      </x:c>
      <x:c r="G1028" s="88" t="str">
        <x:f>IF(C1028="","",MIN(MAX(0,D1028+E1028-F1028),SUMIFS(SONDERZAHLUNGEN!$E$9:$E$128,SONDERZAHLUNGEN!$B$9:$B$128,C1028,SONDERZAHLUNGEN!$C$9:$C$128,A1028,SONDERZAHLUNGEN!$H$9:$H$128,"OK",SONDERZAHLUNGEN!$F$9:$F$128,"Ja")))</x:f>
      </x:c>
      <x:c r="H1028" s="88" t="str">
        <x:f>IF(C1028="","",MIN(MAX(0,D1028+E1028-F1028-G1028),MAX(0,IF(MONATSBUDGET!$C$58="",0,MONATSBUDGET!$C$58)-SUM(F1020:F1039)-SUM(H1020:H1027))))</x:f>
      </x:c>
      <x:c r="I1028" s="88" t="str">
        <x:f>IF(C1028="","",MAX(0,ROUND(D1028+E1028-F1028-G1028-H1028,2)))</x:f>
      </x:c>
      <x:c r="J1028" s="88" t="str">
        <x:f>IF(C1028="","",F1028+G1028+H1028)</x:f>
      </x:c>
      <x:c r="K1028" s="88" t="str">
        <x:f>IF(C1028="","",MAX(0,SUMIFS(SONDERZAHLUNGEN!$E$9:$E$128,SONDERZAHLUNGEN!$B$9:$B$128,C1028,SONDERZAHLUNGEN!$C$9:$C$128,A1028,SONDERZAHLUNGEN!$H$9:$H$128,"OK",SONDERZAHLUNGEN!$F$9:$F$128,"Ja")-G1028))</x:f>
      </x:c>
    </x:row>
    <x:row r="1029" ht="19" customHeight="1">
      <x:c r="A1029" s="90" t="n">
        <x:f>MONATSBUDGET!$A$58</x:f>
        <x:v>47757</x:v>
      </x:c>
      <x:c r="B1029" t="n">
        <x:f>10</x:f>
        <x:v>10</x:v>
      </x:c>
      <x:c r="C1029" t="str">
        <x:f>IF($N$18="","",$N$18)</x:f>
      </x:c>
      <x:c r="D1029" s="88" t="str">
        <x:f>IF(C1029="","",I1009)</x:f>
      </x:c>
      <x:c r="E1029" s="88" t="str">
        <x:f>IF(C1029="","",ROUND(D1029*$P$18/12,2))</x:f>
      </x:c>
      <x:c r="F1029" s="88" t="str">
        <x:f>IF(C1029="","",MIN(D1029+E1029,$Q$18))</x:f>
      </x:c>
      <x:c r="G1029" s="88" t="str">
        <x:f>IF(C1029="","",MIN(MAX(0,D1029+E1029-F1029),SUMIFS(SONDERZAHLUNGEN!$E$9:$E$128,SONDERZAHLUNGEN!$B$9:$B$128,C1029,SONDERZAHLUNGEN!$C$9:$C$128,A1029,SONDERZAHLUNGEN!$H$9:$H$128,"OK",SONDERZAHLUNGEN!$F$9:$F$128,"Ja")))</x:f>
      </x:c>
      <x:c r="H1029" s="88" t="str">
        <x:f>IF(C1029="","",MIN(MAX(0,D1029+E1029-F1029-G1029),MAX(0,IF(MONATSBUDGET!$C$58="",0,MONATSBUDGET!$C$58)-SUM(F1020:F1039)-SUM(H1020:H1028))))</x:f>
      </x:c>
      <x:c r="I1029" s="88" t="str">
        <x:f>IF(C1029="","",MAX(0,ROUND(D1029+E1029-F1029-G1029-H1029,2)))</x:f>
      </x:c>
      <x:c r="J1029" s="88" t="str">
        <x:f>IF(C1029="","",F1029+G1029+H1029)</x:f>
      </x:c>
      <x:c r="K1029" s="88" t="str">
        <x:f>IF(C1029="","",MAX(0,SUMIFS(SONDERZAHLUNGEN!$E$9:$E$128,SONDERZAHLUNGEN!$B$9:$B$128,C1029,SONDERZAHLUNGEN!$C$9:$C$128,A1029,SONDERZAHLUNGEN!$H$9:$H$128,"OK",SONDERZAHLUNGEN!$F$9:$F$128,"Ja")-G1029))</x:f>
      </x:c>
    </x:row>
    <x:row r="1030" ht="19" customHeight="1">
      <x:c r="A1030" s="90" t="n">
        <x:f>MONATSBUDGET!$A$58</x:f>
        <x:v>47757</x:v>
      </x:c>
      <x:c r="B1030" t="n">
        <x:f>11</x:f>
        <x:v>11</x:v>
      </x:c>
      <x:c r="C1030" t="str">
        <x:f>IF($N$19="","",$N$19)</x:f>
      </x:c>
      <x:c r="D1030" s="88" t="str">
        <x:f>IF(C1030="","",I1010)</x:f>
      </x:c>
      <x:c r="E1030" s="88" t="str">
        <x:f>IF(C1030="","",ROUND(D1030*$P$19/12,2))</x:f>
      </x:c>
      <x:c r="F1030" s="88" t="str">
        <x:f>IF(C1030="","",MIN(D1030+E1030,$Q$19))</x:f>
      </x:c>
      <x:c r="G1030" s="88" t="str">
        <x:f>IF(C1030="","",MIN(MAX(0,D1030+E1030-F1030),SUMIFS(SONDERZAHLUNGEN!$E$9:$E$128,SONDERZAHLUNGEN!$B$9:$B$128,C1030,SONDERZAHLUNGEN!$C$9:$C$128,A1030,SONDERZAHLUNGEN!$H$9:$H$128,"OK",SONDERZAHLUNGEN!$F$9:$F$128,"Ja")))</x:f>
      </x:c>
      <x:c r="H1030" s="88" t="str">
        <x:f>IF(C1030="","",MIN(MAX(0,D1030+E1030-F1030-G1030),MAX(0,IF(MONATSBUDGET!$C$58="",0,MONATSBUDGET!$C$58)-SUM(F1020:F1039)-SUM(H1020:H1029))))</x:f>
      </x:c>
      <x:c r="I1030" s="88" t="str">
        <x:f>IF(C1030="","",MAX(0,ROUND(D1030+E1030-F1030-G1030-H1030,2)))</x:f>
      </x:c>
      <x:c r="J1030" s="88" t="str">
        <x:f>IF(C1030="","",F1030+G1030+H1030)</x:f>
      </x:c>
      <x:c r="K1030" s="88" t="str">
        <x:f>IF(C1030="","",MAX(0,SUMIFS(SONDERZAHLUNGEN!$E$9:$E$128,SONDERZAHLUNGEN!$B$9:$B$128,C1030,SONDERZAHLUNGEN!$C$9:$C$128,A1030,SONDERZAHLUNGEN!$H$9:$H$128,"OK",SONDERZAHLUNGEN!$F$9:$F$128,"Ja")-G1030))</x:f>
      </x:c>
    </x:row>
    <x:row r="1031" ht="19" customHeight="1">
      <x:c r="A1031" s="90" t="n">
        <x:f>MONATSBUDGET!$A$58</x:f>
        <x:v>47757</x:v>
      </x:c>
      <x:c r="B1031" t="n">
        <x:f>12</x:f>
        <x:v>12</x:v>
      </x:c>
      <x:c r="C1031" t="str">
        <x:f>IF($N$20="","",$N$20)</x:f>
      </x:c>
      <x:c r="D1031" s="88" t="str">
        <x:f>IF(C1031="","",I1011)</x:f>
      </x:c>
      <x:c r="E1031" s="88" t="str">
        <x:f>IF(C1031="","",ROUND(D1031*$P$20/12,2))</x:f>
      </x:c>
      <x:c r="F1031" s="88" t="str">
        <x:f>IF(C1031="","",MIN(D1031+E1031,$Q$20))</x:f>
      </x:c>
      <x:c r="G1031" s="88" t="str">
        <x:f>IF(C1031="","",MIN(MAX(0,D1031+E1031-F1031),SUMIFS(SONDERZAHLUNGEN!$E$9:$E$128,SONDERZAHLUNGEN!$B$9:$B$128,C1031,SONDERZAHLUNGEN!$C$9:$C$128,A1031,SONDERZAHLUNGEN!$H$9:$H$128,"OK",SONDERZAHLUNGEN!$F$9:$F$128,"Ja")))</x:f>
      </x:c>
      <x:c r="H1031" s="88" t="str">
        <x:f>IF(C1031="","",MIN(MAX(0,D1031+E1031-F1031-G1031),MAX(0,IF(MONATSBUDGET!$C$58="",0,MONATSBUDGET!$C$58)-SUM(F1020:F1039)-SUM(H1020:H1030))))</x:f>
      </x:c>
      <x:c r="I1031" s="88" t="str">
        <x:f>IF(C1031="","",MAX(0,ROUND(D1031+E1031-F1031-G1031-H1031,2)))</x:f>
      </x:c>
      <x:c r="J1031" s="88" t="str">
        <x:f>IF(C1031="","",F1031+G1031+H1031)</x:f>
      </x:c>
      <x:c r="K1031" s="88" t="str">
        <x:f>IF(C1031="","",MAX(0,SUMIFS(SONDERZAHLUNGEN!$E$9:$E$128,SONDERZAHLUNGEN!$B$9:$B$128,C1031,SONDERZAHLUNGEN!$C$9:$C$128,A1031,SONDERZAHLUNGEN!$H$9:$H$128,"OK",SONDERZAHLUNGEN!$F$9:$F$128,"Ja")-G1031))</x:f>
      </x:c>
    </x:row>
    <x:row r="1032" ht="19" customHeight="1">
      <x:c r="A1032" s="90" t="n">
        <x:f>MONATSBUDGET!$A$58</x:f>
        <x:v>47757</x:v>
      </x:c>
      <x:c r="B1032" t="n">
        <x:f>13</x:f>
        <x:v>13</x:v>
      </x:c>
      <x:c r="C1032" t="str">
        <x:f>IF($N$21="","",$N$21)</x:f>
      </x:c>
      <x:c r="D1032" s="88" t="str">
        <x:f>IF(C1032="","",I1012)</x:f>
      </x:c>
      <x:c r="E1032" s="88" t="str">
        <x:f>IF(C1032="","",ROUND(D1032*$P$21/12,2))</x:f>
      </x:c>
      <x:c r="F1032" s="88" t="str">
        <x:f>IF(C1032="","",MIN(D1032+E1032,$Q$21))</x:f>
      </x:c>
      <x:c r="G1032" s="88" t="str">
        <x:f>IF(C1032="","",MIN(MAX(0,D1032+E1032-F1032),SUMIFS(SONDERZAHLUNGEN!$E$9:$E$128,SONDERZAHLUNGEN!$B$9:$B$128,C1032,SONDERZAHLUNGEN!$C$9:$C$128,A1032,SONDERZAHLUNGEN!$H$9:$H$128,"OK",SONDERZAHLUNGEN!$F$9:$F$128,"Ja")))</x:f>
      </x:c>
      <x:c r="H1032" s="88" t="str">
        <x:f>IF(C1032="","",MIN(MAX(0,D1032+E1032-F1032-G1032),MAX(0,IF(MONATSBUDGET!$C$58="",0,MONATSBUDGET!$C$58)-SUM(F1020:F1039)-SUM(H1020:H1031))))</x:f>
      </x:c>
      <x:c r="I1032" s="88" t="str">
        <x:f>IF(C1032="","",MAX(0,ROUND(D1032+E1032-F1032-G1032-H1032,2)))</x:f>
      </x:c>
      <x:c r="J1032" s="88" t="str">
        <x:f>IF(C1032="","",F1032+G1032+H1032)</x:f>
      </x:c>
      <x:c r="K1032" s="88" t="str">
        <x:f>IF(C1032="","",MAX(0,SUMIFS(SONDERZAHLUNGEN!$E$9:$E$128,SONDERZAHLUNGEN!$B$9:$B$128,C1032,SONDERZAHLUNGEN!$C$9:$C$128,A1032,SONDERZAHLUNGEN!$H$9:$H$128,"OK",SONDERZAHLUNGEN!$F$9:$F$128,"Ja")-G1032))</x:f>
      </x:c>
    </x:row>
    <x:row r="1033" ht="19" customHeight="1">
      <x:c r="A1033" s="90" t="n">
        <x:f>MONATSBUDGET!$A$58</x:f>
        <x:v>47757</x:v>
      </x:c>
      <x:c r="B1033" t="n">
        <x:f>14</x:f>
        <x:v>14</x:v>
      </x:c>
      <x:c r="C1033" t="str">
        <x:f>IF($N$22="","",$N$22)</x:f>
      </x:c>
      <x:c r="D1033" s="88" t="str">
        <x:f>IF(C1033="","",I1013)</x:f>
      </x:c>
      <x:c r="E1033" s="88" t="str">
        <x:f>IF(C1033="","",ROUND(D1033*$P$22/12,2))</x:f>
      </x:c>
      <x:c r="F1033" s="88" t="str">
        <x:f>IF(C1033="","",MIN(D1033+E1033,$Q$22))</x:f>
      </x:c>
      <x:c r="G1033" s="88" t="str">
        <x:f>IF(C1033="","",MIN(MAX(0,D1033+E1033-F1033),SUMIFS(SONDERZAHLUNGEN!$E$9:$E$128,SONDERZAHLUNGEN!$B$9:$B$128,C1033,SONDERZAHLUNGEN!$C$9:$C$128,A1033,SONDERZAHLUNGEN!$H$9:$H$128,"OK",SONDERZAHLUNGEN!$F$9:$F$128,"Ja")))</x:f>
      </x:c>
      <x:c r="H1033" s="88" t="str">
        <x:f>IF(C1033="","",MIN(MAX(0,D1033+E1033-F1033-G1033),MAX(0,IF(MONATSBUDGET!$C$58="",0,MONATSBUDGET!$C$58)-SUM(F1020:F1039)-SUM(H1020:H1032))))</x:f>
      </x:c>
      <x:c r="I1033" s="88" t="str">
        <x:f>IF(C1033="","",MAX(0,ROUND(D1033+E1033-F1033-G1033-H1033,2)))</x:f>
      </x:c>
      <x:c r="J1033" s="88" t="str">
        <x:f>IF(C1033="","",F1033+G1033+H1033)</x:f>
      </x:c>
      <x:c r="K1033" s="88" t="str">
        <x:f>IF(C1033="","",MAX(0,SUMIFS(SONDERZAHLUNGEN!$E$9:$E$128,SONDERZAHLUNGEN!$B$9:$B$128,C1033,SONDERZAHLUNGEN!$C$9:$C$128,A1033,SONDERZAHLUNGEN!$H$9:$H$128,"OK",SONDERZAHLUNGEN!$F$9:$F$128,"Ja")-G1033))</x:f>
      </x:c>
    </x:row>
    <x:row r="1034" ht="19" customHeight="1">
      <x:c r="A1034" s="90" t="n">
        <x:f>MONATSBUDGET!$A$58</x:f>
        <x:v>47757</x:v>
      </x:c>
      <x:c r="B1034" t="n">
        <x:f>15</x:f>
        <x:v>15</x:v>
      </x:c>
      <x:c r="C1034" t="str">
        <x:f>IF($N$23="","",$N$23)</x:f>
      </x:c>
      <x:c r="D1034" s="88" t="str">
        <x:f>IF(C1034="","",I1014)</x:f>
      </x:c>
      <x:c r="E1034" s="88" t="str">
        <x:f>IF(C1034="","",ROUND(D1034*$P$23/12,2))</x:f>
      </x:c>
      <x:c r="F1034" s="88" t="str">
        <x:f>IF(C1034="","",MIN(D1034+E1034,$Q$23))</x:f>
      </x:c>
      <x:c r="G1034" s="88" t="str">
        <x:f>IF(C1034="","",MIN(MAX(0,D1034+E1034-F1034),SUMIFS(SONDERZAHLUNGEN!$E$9:$E$128,SONDERZAHLUNGEN!$B$9:$B$128,C1034,SONDERZAHLUNGEN!$C$9:$C$128,A1034,SONDERZAHLUNGEN!$H$9:$H$128,"OK",SONDERZAHLUNGEN!$F$9:$F$128,"Ja")))</x:f>
      </x:c>
      <x:c r="H1034" s="88" t="str">
        <x:f>IF(C1034="","",MIN(MAX(0,D1034+E1034-F1034-G1034),MAX(0,IF(MONATSBUDGET!$C$58="",0,MONATSBUDGET!$C$58)-SUM(F1020:F1039)-SUM(H1020:H1033))))</x:f>
      </x:c>
      <x:c r="I1034" s="88" t="str">
        <x:f>IF(C1034="","",MAX(0,ROUND(D1034+E1034-F1034-G1034-H1034,2)))</x:f>
      </x:c>
      <x:c r="J1034" s="88" t="str">
        <x:f>IF(C1034="","",F1034+G1034+H1034)</x:f>
      </x:c>
      <x:c r="K1034" s="88" t="str">
        <x:f>IF(C1034="","",MAX(0,SUMIFS(SONDERZAHLUNGEN!$E$9:$E$128,SONDERZAHLUNGEN!$B$9:$B$128,C1034,SONDERZAHLUNGEN!$C$9:$C$128,A1034,SONDERZAHLUNGEN!$H$9:$H$128,"OK",SONDERZAHLUNGEN!$F$9:$F$128,"Ja")-G1034))</x:f>
      </x:c>
    </x:row>
    <x:row r="1035" ht="19" customHeight="1">
      <x:c r="A1035" s="90" t="n">
        <x:f>MONATSBUDGET!$A$58</x:f>
        <x:v>47757</x:v>
      </x:c>
      <x:c r="B1035" t="n">
        <x:f>16</x:f>
        <x:v>16</x:v>
      </x:c>
      <x:c r="C1035" t="str">
        <x:f>IF($N$24="","",$N$24)</x:f>
      </x:c>
      <x:c r="D1035" s="88" t="str">
        <x:f>IF(C1035="","",I1015)</x:f>
      </x:c>
      <x:c r="E1035" s="88" t="str">
        <x:f>IF(C1035="","",ROUND(D1035*$P$24/12,2))</x:f>
      </x:c>
      <x:c r="F1035" s="88" t="str">
        <x:f>IF(C1035="","",MIN(D1035+E1035,$Q$24))</x:f>
      </x:c>
      <x:c r="G1035" s="88" t="str">
        <x:f>IF(C1035="","",MIN(MAX(0,D1035+E1035-F1035),SUMIFS(SONDERZAHLUNGEN!$E$9:$E$128,SONDERZAHLUNGEN!$B$9:$B$128,C1035,SONDERZAHLUNGEN!$C$9:$C$128,A1035,SONDERZAHLUNGEN!$H$9:$H$128,"OK",SONDERZAHLUNGEN!$F$9:$F$128,"Ja")))</x:f>
      </x:c>
      <x:c r="H1035" s="88" t="str">
        <x:f>IF(C1035="","",MIN(MAX(0,D1035+E1035-F1035-G1035),MAX(0,IF(MONATSBUDGET!$C$58="",0,MONATSBUDGET!$C$58)-SUM(F1020:F1039)-SUM(H1020:H1034))))</x:f>
      </x:c>
      <x:c r="I1035" s="88" t="str">
        <x:f>IF(C1035="","",MAX(0,ROUND(D1035+E1035-F1035-G1035-H1035,2)))</x:f>
      </x:c>
      <x:c r="J1035" s="88" t="str">
        <x:f>IF(C1035="","",F1035+G1035+H1035)</x:f>
      </x:c>
      <x:c r="K1035" s="88" t="str">
        <x:f>IF(C1035="","",MAX(0,SUMIFS(SONDERZAHLUNGEN!$E$9:$E$128,SONDERZAHLUNGEN!$B$9:$B$128,C1035,SONDERZAHLUNGEN!$C$9:$C$128,A1035,SONDERZAHLUNGEN!$H$9:$H$128,"OK",SONDERZAHLUNGEN!$F$9:$F$128,"Ja")-G1035))</x:f>
      </x:c>
    </x:row>
    <x:row r="1036" ht="19" customHeight="1">
      <x:c r="A1036" s="90" t="n">
        <x:f>MONATSBUDGET!$A$58</x:f>
        <x:v>47757</x:v>
      </x:c>
      <x:c r="B1036" t="n">
        <x:f>17</x:f>
        <x:v>17</x:v>
      </x:c>
      <x:c r="C1036" t="str">
        <x:f>IF($N$25="","",$N$25)</x:f>
      </x:c>
      <x:c r="D1036" s="88" t="str">
        <x:f>IF(C1036="","",I1016)</x:f>
      </x:c>
      <x:c r="E1036" s="88" t="str">
        <x:f>IF(C1036="","",ROUND(D1036*$P$25/12,2))</x:f>
      </x:c>
      <x:c r="F1036" s="88" t="str">
        <x:f>IF(C1036="","",MIN(D1036+E1036,$Q$25))</x:f>
      </x:c>
      <x:c r="G1036" s="88" t="str">
        <x:f>IF(C1036="","",MIN(MAX(0,D1036+E1036-F1036),SUMIFS(SONDERZAHLUNGEN!$E$9:$E$128,SONDERZAHLUNGEN!$B$9:$B$128,C1036,SONDERZAHLUNGEN!$C$9:$C$128,A1036,SONDERZAHLUNGEN!$H$9:$H$128,"OK",SONDERZAHLUNGEN!$F$9:$F$128,"Ja")))</x:f>
      </x:c>
      <x:c r="H1036" s="88" t="str">
        <x:f>IF(C1036="","",MIN(MAX(0,D1036+E1036-F1036-G1036),MAX(0,IF(MONATSBUDGET!$C$58="",0,MONATSBUDGET!$C$58)-SUM(F1020:F1039)-SUM(H1020:H1035))))</x:f>
      </x:c>
      <x:c r="I1036" s="88" t="str">
        <x:f>IF(C1036="","",MAX(0,ROUND(D1036+E1036-F1036-G1036-H1036,2)))</x:f>
      </x:c>
      <x:c r="J1036" s="88" t="str">
        <x:f>IF(C1036="","",F1036+G1036+H1036)</x:f>
      </x:c>
      <x:c r="K1036" s="88" t="str">
        <x:f>IF(C1036="","",MAX(0,SUMIFS(SONDERZAHLUNGEN!$E$9:$E$128,SONDERZAHLUNGEN!$B$9:$B$128,C1036,SONDERZAHLUNGEN!$C$9:$C$128,A1036,SONDERZAHLUNGEN!$H$9:$H$128,"OK",SONDERZAHLUNGEN!$F$9:$F$128,"Ja")-G1036))</x:f>
      </x:c>
    </x:row>
    <x:row r="1037" ht="19" customHeight="1">
      <x:c r="A1037" s="90" t="n">
        <x:f>MONATSBUDGET!$A$58</x:f>
        <x:v>47757</x:v>
      </x:c>
      <x:c r="B1037" t="n">
        <x:f>18</x:f>
        <x:v>18</x:v>
      </x:c>
      <x:c r="C1037" t="str">
        <x:f>IF($N$26="","",$N$26)</x:f>
      </x:c>
      <x:c r="D1037" s="88" t="str">
        <x:f>IF(C1037="","",I1017)</x:f>
      </x:c>
      <x:c r="E1037" s="88" t="str">
        <x:f>IF(C1037="","",ROUND(D1037*$P$26/12,2))</x:f>
      </x:c>
      <x:c r="F1037" s="88" t="str">
        <x:f>IF(C1037="","",MIN(D1037+E1037,$Q$26))</x:f>
      </x:c>
      <x:c r="G1037" s="88" t="str">
        <x:f>IF(C1037="","",MIN(MAX(0,D1037+E1037-F1037),SUMIFS(SONDERZAHLUNGEN!$E$9:$E$128,SONDERZAHLUNGEN!$B$9:$B$128,C1037,SONDERZAHLUNGEN!$C$9:$C$128,A1037,SONDERZAHLUNGEN!$H$9:$H$128,"OK",SONDERZAHLUNGEN!$F$9:$F$128,"Ja")))</x:f>
      </x:c>
      <x:c r="H1037" s="88" t="str">
        <x:f>IF(C1037="","",MIN(MAX(0,D1037+E1037-F1037-G1037),MAX(0,IF(MONATSBUDGET!$C$58="",0,MONATSBUDGET!$C$58)-SUM(F1020:F1039)-SUM(H1020:H1036))))</x:f>
      </x:c>
      <x:c r="I1037" s="88" t="str">
        <x:f>IF(C1037="","",MAX(0,ROUND(D1037+E1037-F1037-G1037-H1037,2)))</x:f>
      </x:c>
      <x:c r="J1037" s="88" t="str">
        <x:f>IF(C1037="","",F1037+G1037+H1037)</x:f>
      </x:c>
      <x:c r="K1037" s="88" t="str">
        <x:f>IF(C1037="","",MAX(0,SUMIFS(SONDERZAHLUNGEN!$E$9:$E$128,SONDERZAHLUNGEN!$B$9:$B$128,C1037,SONDERZAHLUNGEN!$C$9:$C$128,A1037,SONDERZAHLUNGEN!$H$9:$H$128,"OK",SONDERZAHLUNGEN!$F$9:$F$128,"Ja")-G1037))</x:f>
      </x:c>
    </x:row>
    <x:row r="1038" ht="19" customHeight="1">
      <x:c r="A1038" s="90" t="n">
        <x:f>MONATSBUDGET!$A$58</x:f>
        <x:v>47757</x:v>
      </x:c>
      <x:c r="B1038" t="n">
        <x:f>19</x:f>
        <x:v>19</x:v>
      </x:c>
      <x:c r="C1038" t="str">
        <x:f>IF($N$27="","",$N$27)</x:f>
      </x:c>
      <x:c r="D1038" s="88" t="str">
        <x:f>IF(C1038="","",I1018)</x:f>
      </x:c>
      <x:c r="E1038" s="88" t="str">
        <x:f>IF(C1038="","",ROUND(D1038*$P$27/12,2))</x:f>
      </x:c>
      <x:c r="F1038" s="88" t="str">
        <x:f>IF(C1038="","",MIN(D1038+E1038,$Q$27))</x:f>
      </x:c>
      <x:c r="G1038" s="88" t="str">
        <x:f>IF(C1038="","",MIN(MAX(0,D1038+E1038-F1038),SUMIFS(SONDERZAHLUNGEN!$E$9:$E$128,SONDERZAHLUNGEN!$B$9:$B$128,C1038,SONDERZAHLUNGEN!$C$9:$C$128,A1038,SONDERZAHLUNGEN!$H$9:$H$128,"OK",SONDERZAHLUNGEN!$F$9:$F$128,"Ja")))</x:f>
      </x:c>
      <x:c r="H1038" s="88" t="str">
        <x:f>IF(C1038="","",MIN(MAX(0,D1038+E1038-F1038-G1038),MAX(0,IF(MONATSBUDGET!$C$58="",0,MONATSBUDGET!$C$58)-SUM(F1020:F1039)-SUM(H1020:H1037))))</x:f>
      </x:c>
      <x:c r="I1038" s="88" t="str">
        <x:f>IF(C1038="","",MAX(0,ROUND(D1038+E1038-F1038-G1038-H1038,2)))</x:f>
      </x:c>
      <x:c r="J1038" s="88" t="str">
        <x:f>IF(C1038="","",F1038+G1038+H1038)</x:f>
      </x:c>
      <x:c r="K1038" s="88" t="str">
        <x:f>IF(C1038="","",MAX(0,SUMIFS(SONDERZAHLUNGEN!$E$9:$E$128,SONDERZAHLUNGEN!$B$9:$B$128,C1038,SONDERZAHLUNGEN!$C$9:$C$128,A1038,SONDERZAHLUNGEN!$H$9:$H$128,"OK",SONDERZAHLUNGEN!$F$9:$F$128,"Ja")-G1038))</x:f>
      </x:c>
    </x:row>
    <x:row r="1039" ht="19" customHeight="1">
      <x:c r="A1039" s="90" t="n">
        <x:f>MONATSBUDGET!$A$58</x:f>
        <x:v>47757</x:v>
      </x:c>
      <x:c r="B1039" t="n">
        <x:f>20</x:f>
        <x:v>20</x:v>
      </x:c>
      <x:c r="C1039" t="str">
        <x:f>IF($N$28="","",$N$28)</x:f>
      </x:c>
      <x:c r="D1039" s="88" t="str">
        <x:f>IF(C1039="","",I1019)</x:f>
      </x:c>
      <x:c r="E1039" s="88" t="str">
        <x:f>IF(C1039="","",ROUND(D1039*$P$28/12,2))</x:f>
      </x:c>
      <x:c r="F1039" s="88" t="str">
        <x:f>IF(C1039="","",MIN(D1039+E1039,$Q$28))</x:f>
      </x:c>
      <x:c r="G1039" s="88" t="str">
        <x:f>IF(C1039="","",MIN(MAX(0,D1039+E1039-F1039),SUMIFS(SONDERZAHLUNGEN!$E$9:$E$128,SONDERZAHLUNGEN!$B$9:$B$128,C1039,SONDERZAHLUNGEN!$C$9:$C$128,A1039,SONDERZAHLUNGEN!$H$9:$H$128,"OK",SONDERZAHLUNGEN!$F$9:$F$128,"Ja")))</x:f>
      </x:c>
      <x:c r="H1039" s="88" t="str">
        <x:f>IF(C1039="","",MIN(MAX(0,D1039+E1039-F1039-G1039),MAX(0,IF(MONATSBUDGET!$C$58="",0,MONATSBUDGET!$C$58)-SUM(F1020:F1039)-SUM(H1020:H1038))))</x:f>
      </x:c>
      <x:c r="I1039" s="88" t="str">
        <x:f>IF(C1039="","",MAX(0,ROUND(D1039+E1039-F1039-G1039-H1039,2)))</x:f>
      </x:c>
      <x:c r="J1039" s="88" t="str">
        <x:f>IF(C1039="","",F1039+G1039+H1039)</x:f>
      </x:c>
      <x:c r="K1039" s="88" t="str">
        <x:f>IF(C1039="","",MAX(0,SUMIFS(SONDERZAHLUNGEN!$E$9:$E$128,SONDERZAHLUNGEN!$B$9:$B$128,C1039,SONDERZAHLUNGEN!$C$9:$C$128,A1039,SONDERZAHLUNGEN!$H$9:$H$128,"OK",SONDERZAHLUNGEN!$F$9:$F$128,"Ja")-G1039))</x:f>
      </x:c>
    </x:row>
    <x:row r="1040" ht="19" customHeight="1">
      <x:c r="A1040" s="90" t="n">
        <x:f>MONATSBUDGET!$A$59</x:f>
        <x:v>47788</x:v>
      </x:c>
      <x:c r="B1040" t="n">
        <x:f>1</x:f>
        <x:v>1</x:v>
      </x:c>
      <x:c r="C1040" t="str">
        <x:f>IF($N$9="","",$N$9)</x:f>
      </x:c>
      <x:c r="D1040" s="88" t="str">
        <x:f>IF(C1040="","",I1020)</x:f>
      </x:c>
      <x:c r="E1040" s="88" t="str">
        <x:f>IF(C1040="","",ROUND(D1040*$P$9/12,2))</x:f>
      </x:c>
      <x:c r="F1040" s="88" t="str">
        <x:f>IF(C1040="","",MIN(D1040+E1040,$Q$9))</x:f>
      </x:c>
      <x:c r="G1040" s="88" t="str">
        <x:f>IF(C1040="","",MIN(MAX(0,D1040+E1040-F1040),SUMIFS(SONDERZAHLUNGEN!$E$9:$E$128,SONDERZAHLUNGEN!$B$9:$B$128,C1040,SONDERZAHLUNGEN!$C$9:$C$128,A1040,SONDERZAHLUNGEN!$H$9:$H$128,"OK",SONDERZAHLUNGEN!$F$9:$F$128,"Ja")))</x:f>
      </x:c>
      <x:c r="H1040" s="88" t="str">
        <x:f>IF(C1040="","",MIN(MAX(0,D1040+E1040-F1040-G1040),MAX(0,IF(MONATSBUDGET!$C$59="",0,MONATSBUDGET!$C$59)-SUM(F1040:F1059)-0)))</x:f>
      </x:c>
      <x:c r="I1040" s="88" t="str">
        <x:f>IF(C1040="","",MAX(0,ROUND(D1040+E1040-F1040-G1040-H1040,2)))</x:f>
      </x:c>
      <x:c r="J1040" s="88" t="str">
        <x:f>IF(C1040="","",F1040+G1040+H1040)</x:f>
      </x:c>
      <x:c r="K1040" s="88" t="str">
        <x:f>IF(C1040="","",MAX(0,SUMIFS(SONDERZAHLUNGEN!$E$9:$E$128,SONDERZAHLUNGEN!$B$9:$B$128,C1040,SONDERZAHLUNGEN!$C$9:$C$128,A1040,SONDERZAHLUNGEN!$H$9:$H$128,"OK",SONDERZAHLUNGEN!$F$9:$F$128,"Ja")-G1040))</x:f>
      </x:c>
    </x:row>
    <x:row r="1041" ht="19" customHeight="1">
      <x:c r="A1041" s="90" t="n">
        <x:f>MONATSBUDGET!$A$59</x:f>
        <x:v>47788</x:v>
      </x:c>
      <x:c r="B1041" t="n">
        <x:f>2</x:f>
        <x:v>2</x:v>
      </x:c>
      <x:c r="C1041" t="str">
        <x:f>IF($N$10="","",$N$10)</x:f>
      </x:c>
      <x:c r="D1041" s="88" t="str">
        <x:f>IF(C1041="","",I1021)</x:f>
      </x:c>
      <x:c r="E1041" s="88" t="str">
        <x:f>IF(C1041="","",ROUND(D1041*$P$10/12,2))</x:f>
      </x:c>
      <x:c r="F1041" s="88" t="str">
        <x:f>IF(C1041="","",MIN(D1041+E1041,$Q$10))</x:f>
      </x:c>
      <x:c r="G1041" s="88" t="str">
        <x:f>IF(C1041="","",MIN(MAX(0,D1041+E1041-F1041),SUMIFS(SONDERZAHLUNGEN!$E$9:$E$128,SONDERZAHLUNGEN!$B$9:$B$128,C1041,SONDERZAHLUNGEN!$C$9:$C$128,A1041,SONDERZAHLUNGEN!$H$9:$H$128,"OK",SONDERZAHLUNGEN!$F$9:$F$128,"Ja")))</x:f>
      </x:c>
      <x:c r="H1041" s="88" t="str">
        <x:f>IF(C1041="","",MIN(MAX(0,D1041+E1041-F1041-G1041),MAX(0,IF(MONATSBUDGET!$C$59="",0,MONATSBUDGET!$C$59)-SUM(F1040:F1059)-SUM(H1040:H1040))))</x:f>
      </x:c>
      <x:c r="I1041" s="88" t="str">
        <x:f>IF(C1041="","",MAX(0,ROUND(D1041+E1041-F1041-G1041-H1041,2)))</x:f>
      </x:c>
      <x:c r="J1041" s="88" t="str">
        <x:f>IF(C1041="","",F1041+G1041+H1041)</x:f>
      </x:c>
      <x:c r="K1041" s="88" t="str">
        <x:f>IF(C1041="","",MAX(0,SUMIFS(SONDERZAHLUNGEN!$E$9:$E$128,SONDERZAHLUNGEN!$B$9:$B$128,C1041,SONDERZAHLUNGEN!$C$9:$C$128,A1041,SONDERZAHLUNGEN!$H$9:$H$128,"OK",SONDERZAHLUNGEN!$F$9:$F$128,"Ja")-G1041))</x:f>
      </x:c>
    </x:row>
    <x:row r="1042" ht="19" customHeight="1">
      <x:c r="A1042" s="90" t="n">
        <x:f>MONATSBUDGET!$A$59</x:f>
        <x:v>47788</x:v>
      </x:c>
      <x:c r="B1042" t="n">
        <x:f>3</x:f>
        <x:v>3</x:v>
      </x:c>
      <x:c r="C1042" t="str">
        <x:f>IF($N$11="","",$N$11)</x:f>
      </x:c>
      <x:c r="D1042" s="88" t="str">
        <x:f>IF(C1042="","",I1022)</x:f>
      </x:c>
      <x:c r="E1042" s="88" t="str">
        <x:f>IF(C1042="","",ROUND(D1042*$P$11/12,2))</x:f>
      </x:c>
      <x:c r="F1042" s="88" t="str">
        <x:f>IF(C1042="","",MIN(D1042+E1042,$Q$11))</x:f>
      </x:c>
      <x:c r="G1042" s="88" t="str">
        <x:f>IF(C1042="","",MIN(MAX(0,D1042+E1042-F1042),SUMIFS(SONDERZAHLUNGEN!$E$9:$E$128,SONDERZAHLUNGEN!$B$9:$B$128,C1042,SONDERZAHLUNGEN!$C$9:$C$128,A1042,SONDERZAHLUNGEN!$H$9:$H$128,"OK",SONDERZAHLUNGEN!$F$9:$F$128,"Ja")))</x:f>
      </x:c>
      <x:c r="H1042" s="88" t="str">
        <x:f>IF(C1042="","",MIN(MAX(0,D1042+E1042-F1042-G1042),MAX(0,IF(MONATSBUDGET!$C$59="",0,MONATSBUDGET!$C$59)-SUM(F1040:F1059)-SUM(H1040:H1041))))</x:f>
      </x:c>
      <x:c r="I1042" s="88" t="str">
        <x:f>IF(C1042="","",MAX(0,ROUND(D1042+E1042-F1042-G1042-H1042,2)))</x:f>
      </x:c>
      <x:c r="J1042" s="88" t="str">
        <x:f>IF(C1042="","",F1042+G1042+H1042)</x:f>
      </x:c>
      <x:c r="K1042" s="88" t="str">
        <x:f>IF(C1042="","",MAX(0,SUMIFS(SONDERZAHLUNGEN!$E$9:$E$128,SONDERZAHLUNGEN!$B$9:$B$128,C1042,SONDERZAHLUNGEN!$C$9:$C$128,A1042,SONDERZAHLUNGEN!$H$9:$H$128,"OK",SONDERZAHLUNGEN!$F$9:$F$128,"Ja")-G1042))</x:f>
      </x:c>
    </x:row>
    <x:row r="1043" ht="19" customHeight="1">
      <x:c r="A1043" s="90" t="n">
        <x:f>MONATSBUDGET!$A$59</x:f>
        <x:v>47788</x:v>
      </x:c>
      <x:c r="B1043" t="n">
        <x:f>4</x:f>
        <x:v>4</x:v>
      </x:c>
      <x:c r="C1043" t="str">
        <x:f>IF($N$12="","",$N$12)</x:f>
      </x:c>
      <x:c r="D1043" s="88" t="str">
        <x:f>IF(C1043="","",I1023)</x:f>
      </x:c>
      <x:c r="E1043" s="88" t="str">
        <x:f>IF(C1043="","",ROUND(D1043*$P$12/12,2))</x:f>
      </x:c>
      <x:c r="F1043" s="88" t="str">
        <x:f>IF(C1043="","",MIN(D1043+E1043,$Q$12))</x:f>
      </x:c>
      <x:c r="G1043" s="88" t="str">
        <x:f>IF(C1043="","",MIN(MAX(0,D1043+E1043-F1043),SUMIFS(SONDERZAHLUNGEN!$E$9:$E$128,SONDERZAHLUNGEN!$B$9:$B$128,C1043,SONDERZAHLUNGEN!$C$9:$C$128,A1043,SONDERZAHLUNGEN!$H$9:$H$128,"OK",SONDERZAHLUNGEN!$F$9:$F$128,"Ja")))</x:f>
      </x:c>
      <x:c r="H1043" s="88" t="str">
        <x:f>IF(C1043="","",MIN(MAX(0,D1043+E1043-F1043-G1043),MAX(0,IF(MONATSBUDGET!$C$59="",0,MONATSBUDGET!$C$59)-SUM(F1040:F1059)-SUM(H1040:H1042))))</x:f>
      </x:c>
      <x:c r="I1043" s="88" t="str">
        <x:f>IF(C1043="","",MAX(0,ROUND(D1043+E1043-F1043-G1043-H1043,2)))</x:f>
      </x:c>
      <x:c r="J1043" s="88" t="str">
        <x:f>IF(C1043="","",F1043+G1043+H1043)</x:f>
      </x:c>
      <x:c r="K1043" s="88" t="str">
        <x:f>IF(C1043="","",MAX(0,SUMIFS(SONDERZAHLUNGEN!$E$9:$E$128,SONDERZAHLUNGEN!$B$9:$B$128,C1043,SONDERZAHLUNGEN!$C$9:$C$128,A1043,SONDERZAHLUNGEN!$H$9:$H$128,"OK",SONDERZAHLUNGEN!$F$9:$F$128,"Ja")-G1043))</x:f>
      </x:c>
    </x:row>
    <x:row r="1044" ht="19" customHeight="1">
      <x:c r="A1044" s="90" t="n">
        <x:f>MONATSBUDGET!$A$59</x:f>
        <x:v>47788</x:v>
      </x:c>
      <x:c r="B1044" t="n">
        <x:f>5</x:f>
        <x:v>5</x:v>
      </x:c>
      <x:c r="C1044" t="str">
        <x:f>IF($N$13="","",$N$13)</x:f>
      </x:c>
      <x:c r="D1044" s="88" t="str">
        <x:f>IF(C1044="","",I1024)</x:f>
      </x:c>
      <x:c r="E1044" s="88" t="str">
        <x:f>IF(C1044="","",ROUND(D1044*$P$13/12,2))</x:f>
      </x:c>
      <x:c r="F1044" s="88" t="str">
        <x:f>IF(C1044="","",MIN(D1044+E1044,$Q$13))</x:f>
      </x:c>
      <x:c r="G1044" s="88" t="str">
        <x:f>IF(C1044="","",MIN(MAX(0,D1044+E1044-F1044),SUMIFS(SONDERZAHLUNGEN!$E$9:$E$128,SONDERZAHLUNGEN!$B$9:$B$128,C1044,SONDERZAHLUNGEN!$C$9:$C$128,A1044,SONDERZAHLUNGEN!$H$9:$H$128,"OK",SONDERZAHLUNGEN!$F$9:$F$128,"Ja")))</x:f>
      </x:c>
      <x:c r="H1044" s="88" t="str">
        <x:f>IF(C1044="","",MIN(MAX(0,D1044+E1044-F1044-G1044),MAX(0,IF(MONATSBUDGET!$C$59="",0,MONATSBUDGET!$C$59)-SUM(F1040:F1059)-SUM(H1040:H1043))))</x:f>
      </x:c>
      <x:c r="I1044" s="88" t="str">
        <x:f>IF(C1044="","",MAX(0,ROUND(D1044+E1044-F1044-G1044-H1044,2)))</x:f>
      </x:c>
      <x:c r="J1044" s="88" t="str">
        <x:f>IF(C1044="","",F1044+G1044+H1044)</x:f>
      </x:c>
      <x:c r="K1044" s="88" t="str">
        <x:f>IF(C1044="","",MAX(0,SUMIFS(SONDERZAHLUNGEN!$E$9:$E$128,SONDERZAHLUNGEN!$B$9:$B$128,C1044,SONDERZAHLUNGEN!$C$9:$C$128,A1044,SONDERZAHLUNGEN!$H$9:$H$128,"OK",SONDERZAHLUNGEN!$F$9:$F$128,"Ja")-G1044))</x:f>
      </x:c>
    </x:row>
    <x:row r="1045" ht="19" customHeight="1">
      <x:c r="A1045" s="90" t="n">
        <x:f>MONATSBUDGET!$A$59</x:f>
        <x:v>47788</x:v>
      </x:c>
      <x:c r="B1045" t="n">
        <x:f>6</x:f>
        <x:v>6</x:v>
      </x:c>
      <x:c r="C1045" t="str">
        <x:f>IF($N$14="","",$N$14)</x:f>
      </x:c>
      <x:c r="D1045" s="88" t="str">
        <x:f>IF(C1045="","",I1025)</x:f>
      </x:c>
      <x:c r="E1045" s="88" t="str">
        <x:f>IF(C1045="","",ROUND(D1045*$P$14/12,2))</x:f>
      </x:c>
      <x:c r="F1045" s="88" t="str">
        <x:f>IF(C1045="","",MIN(D1045+E1045,$Q$14))</x:f>
      </x:c>
      <x:c r="G1045" s="88" t="str">
        <x:f>IF(C1045="","",MIN(MAX(0,D1045+E1045-F1045),SUMIFS(SONDERZAHLUNGEN!$E$9:$E$128,SONDERZAHLUNGEN!$B$9:$B$128,C1045,SONDERZAHLUNGEN!$C$9:$C$128,A1045,SONDERZAHLUNGEN!$H$9:$H$128,"OK",SONDERZAHLUNGEN!$F$9:$F$128,"Ja")))</x:f>
      </x:c>
      <x:c r="H1045" s="88" t="str">
        <x:f>IF(C1045="","",MIN(MAX(0,D1045+E1045-F1045-G1045),MAX(0,IF(MONATSBUDGET!$C$59="",0,MONATSBUDGET!$C$59)-SUM(F1040:F1059)-SUM(H1040:H1044))))</x:f>
      </x:c>
      <x:c r="I1045" s="88" t="str">
        <x:f>IF(C1045="","",MAX(0,ROUND(D1045+E1045-F1045-G1045-H1045,2)))</x:f>
      </x:c>
      <x:c r="J1045" s="88" t="str">
        <x:f>IF(C1045="","",F1045+G1045+H1045)</x:f>
      </x:c>
      <x:c r="K1045" s="88" t="str">
        <x:f>IF(C1045="","",MAX(0,SUMIFS(SONDERZAHLUNGEN!$E$9:$E$128,SONDERZAHLUNGEN!$B$9:$B$128,C1045,SONDERZAHLUNGEN!$C$9:$C$128,A1045,SONDERZAHLUNGEN!$H$9:$H$128,"OK",SONDERZAHLUNGEN!$F$9:$F$128,"Ja")-G1045))</x:f>
      </x:c>
    </x:row>
    <x:row r="1046" ht="19" customHeight="1">
      <x:c r="A1046" s="90" t="n">
        <x:f>MONATSBUDGET!$A$59</x:f>
        <x:v>47788</x:v>
      </x:c>
      <x:c r="B1046" t="n">
        <x:f>7</x:f>
        <x:v>7</x:v>
      </x:c>
      <x:c r="C1046" t="str">
        <x:f>IF($N$15="","",$N$15)</x:f>
      </x:c>
      <x:c r="D1046" s="88" t="str">
        <x:f>IF(C1046="","",I1026)</x:f>
      </x:c>
      <x:c r="E1046" s="88" t="str">
        <x:f>IF(C1046="","",ROUND(D1046*$P$15/12,2))</x:f>
      </x:c>
      <x:c r="F1046" s="88" t="str">
        <x:f>IF(C1046="","",MIN(D1046+E1046,$Q$15))</x:f>
      </x:c>
      <x:c r="G1046" s="88" t="str">
        <x:f>IF(C1046="","",MIN(MAX(0,D1046+E1046-F1046),SUMIFS(SONDERZAHLUNGEN!$E$9:$E$128,SONDERZAHLUNGEN!$B$9:$B$128,C1046,SONDERZAHLUNGEN!$C$9:$C$128,A1046,SONDERZAHLUNGEN!$H$9:$H$128,"OK",SONDERZAHLUNGEN!$F$9:$F$128,"Ja")))</x:f>
      </x:c>
      <x:c r="H1046" s="88" t="str">
        <x:f>IF(C1046="","",MIN(MAX(0,D1046+E1046-F1046-G1046),MAX(0,IF(MONATSBUDGET!$C$59="",0,MONATSBUDGET!$C$59)-SUM(F1040:F1059)-SUM(H1040:H1045))))</x:f>
      </x:c>
      <x:c r="I1046" s="88" t="str">
        <x:f>IF(C1046="","",MAX(0,ROUND(D1046+E1046-F1046-G1046-H1046,2)))</x:f>
      </x:c>
      <x:c r="J1046" s="88" t="str">
        <x:f>IF(C1046="","",F1046+G1046+H1046)</x:f>
      </x:c>
      <x:c r="K1046" s="88" t="str">
        <x:f>IF(C1046="","",MAX(0,SUMIFS(SONDERZAHLUNGEN!$E$9:$E$128,SONDERZAHLUNGEN!$B$9:$B$128,C1046,SONDERZAHLUNGEN!$C$9:$C$128,A1046,SONDERZAHLUNGEN!$H$9:$H$128,"OK",SONDERZAHLUNGEN!$F$9:$F$128,"Ja")-G1046))</x:f>
      </x:c>
    </x:row>
    <x:row r="1047" ht="19" customHeight="1">
      <x:c r="A1047" s="90" t="n">
        <x:f>MONATSBUDGET!$A$59</x:f>
        <x:v>47788</x:v>
      </x:c>
      <x:c r="B1047" t="n">
        <x:f>8</x:f>
        <x:v>8</x:v>
      </x:c>
      <x:c r="C1047" t="str">
        <x:f>IF($N$16="","",$N$16)</x:f>
      </x:c>
      <x:c r="D1047" s="88" t="str">
        <x:f>IF(C1047="","",I1027)</x:f>
      </x:c>
      <x:c r="E1047" s="88" t="str">
        <x:f>IF(C1047="","",ROUND(D1047*$P$16/12,2))</x:f>
      </x:c>
      <x:c r="F1047" s="88" t="str">
        <x:f>IF(C1047="","",MIN(D1047+E1047,$Q$16))</x:f>
      </x:c>
      <x:c r="G1047" s="88" t="str">
        <x:f>IF(C1047="","",MIN(MAX(0,D1047+E1047-F1047),SUMIFS(SONDERZAHLUNGEN!$E$9:$E$128,SONDERZAHLUNGEN!$B$9:$B$128,C1047,SONDERZAHLUNGEN!$C$9:$C$128,A1047,SONDERZAHLUNGEN!$H$9:$H$128,"OK",SONDERZAHLUNGEN!$F$9:$F$128,"Ja")))</x:f>
      </x:c>
      <x:c r="H1047" s="88" t="str">
        <x:f>IF(C1047="","",MIN(MAX(0,D1047+E1047-F1047-G1047),MAX(0,IF(MONATSBUDGET!$C$59="",0,MONATSBUDGET!$C$59)-SUM(F1040:F1059)-SUM(H1040:H1046))))</x:f>
      </x:c>
      <x:c r="I1047" s="88" t="str">
        <x:f>IF(C1047="","",MAX(0,ROUND(D1047+E1047-F1047-G1047-H1047,2)))</x:f>
      </x:c>
      <x:c r="J1047" s="88" t="str">
        <x:f>IF(C1047="","",F1047+G1047+H1047)</x:f>
      </x:c>
      <x:c r="K1047" s="88" t="str">
        <x:f>IF(C1047="","",MAX(0,SUMIFS(SONDERZAHLUNGEN!$E$9:$E$128,SONDERZAHLUNGEN!$B$9:$B$128,C1047,SONDERZAHLUNGEN!$C$9:$C$128,A1047,SONDERZAHLUNGEN!$H$9:$H$128,"OK",SONDERZAHLUNGEN!$F$9:$F$128,"Ja")-G1047))</x:f>
      </x:c>
    </x:row>
    <x:row r="1048" ht="19" customHeight="1">
      <x:c r="A1048" s="90" t="n">
        <x:f>MONATSBUDGET!$A$59</x:f>
        <x:v>47788</x:v>
      </x:c>
      <x:c r="B1048" t="n">
        <x:f>9</x:f>
        <x:v>9</x:v>
      </x:c>
      <x:c r="C1048" t="str">
        <x:f>IF($N$17="","",$N$17)</x:f>
      </x:c>
      <x:c r="D1048" s="88" t="str">
        <x:f>IF(C1048="","",I1028)</x:f>
      </x:c>
      <x:c r="E1048" s="88" t="str">
        <x:f>IF(C1048="","",ROUND(D1048*$P$17/12,2))</x:f>
      </x:c>
      <x:c r="F1048" s="88" t="str">
        <x:f>IF(C1048="","",MIN(D1048+E1048,$Q$17))</x:f>
      </x:c>
      <x:c r="G1048" s="88" t="str">
        <x:f>IF(C1048="","",MIN(MAX(0,D1048+E1048-F1048),SUMIFS(SONDERZAHLUNGEN!$E$9:$E$128,SONDERZAHLUNGEN!$B$9:$B$128,C1048,SONDERZAHLUNGEN!$C$9:$C$128,A1048,SONDERZAHLUNGEN!$H$9:$H$128,"OK",SONDERZAHLUNGEN!$F$9:$F$128,"Ja")))</x:f>
      </x:c>
      <x:c r="H1048" s="88" t="str">
        <x:f>IF(C1048="","",MIN(MAX(0,D1048+E1048-F1048-G1048),MAX(0,IF(MONATSBUDGET!$C$59="",0,MONATSBUDGET!$C$59)-SUM(F1040:F1059)-SUM(H1040:H1047))))</x:f>
      </x:c>
      <x:c r="I1048" s="88" t="str">
        <x:f>IF(C1048="","",MAX(0,ROUND(D1048+E1048-F1048-G1048-H1048,2)))</x:f>
      </x:c>
      <x:c r="J1048" s="88" t="str">
        <x:f>IF(C1048="","",F1048+G1048+H1048)</x:f>
      </x:c>
      <x:c r="K1048" s="88" t="str">
        <x:f>IF(C1048="","",MAX(0,SUMIFS(SONDERZAHLUNGEN!$E$9:$E$128,SONDERZAHLUNGEN!$B$9:$B$128,C1048,SONDERZAHLUNGEN!$C$9:$C$128,A1048,SONDERZAHLUNGEN!$H$9:$H$128,"OK",SONDERZAHLUNGEN!$F$9:$F$128,"Ja")-G1048))</x:f>
      </x:c>
    </x:row>
    <x:row r="1049" ht="19" customHeight="1">
      <x:c r="A1049" s="90" t="n">
        <x:f>MONATSBUDGET!$A$59</x:f>
        <x:v>47788</x:v>
      </x:c>
      <x:c r="B1049" t="n">
        <x:f>10</x:f>
        <x:v>10</x:v>
      </x:c>
      <x:c r="C1049" t="str">
        <x:f>IF($N$18="","",$N$18)</x:f>
      </x:c>
      <x:c r="D1049" s="88" t="str">
        <x:f>IF(C1049="","",I1029)</x:f>
      </x:c>
      <x:c r="E1049" s="88" t="str">
        <x:f>IF(C1049="","",ROUND(D1049*$P$18/12,2))</x:f>
      </x:c>
      <x:c r="F1049" s="88" t="str">
        <x:f>IF(C1049="","",MIN(D1049+E1049,$Q$18))</x:f>
      </x:c>
      <x:c r="G1049" s="88" t="str">
        <x:f>IF(C1049="","",MIN(MAX(0,D1049+E1049-F1049),SUMIFS(SONDERZAHLUNGEN!$E$9:$E$128,SONDERZAHLUNGEN!$B$9:$B$128,C1049,SONDERZAHLUNGEN!$C$9:$C$128,A1049,SONDERZAHLUNGEN!$H$9:$H$128,"OK",SONDERZAHLUNGEN!$F$9:$F$128,"Ja")))</x:f>
      </x:c>
      <x:c r="H1049" s="88" t="str">
        <x:f>IF(C1049="","",MIN(MAX(0,D1049+E1049-F1049-G1049),MAX(0,IF(MONATSBUDGET!$C$59="",0,MONATSBUDGET!$C$59)-SUM(F1040:F1059)-SUM(H1040:H1048))))</x:f>
      </x:c>
      <x:c r="I1049" s="88" t="str">
        <x:f>IF(C1049="","",MAX(0,ROUND(D1049+E1049-F1049-G1049-H1049,2)))</x:f>
      </x:c>
      <x:c r="J1049" s="88" t="str">
        <x:f>IF(C1049="","",F1049+G1049+H1049)</x:f>
      </x:c>
      <x:c r="K1049" s="88" t="str">
        <x:f>IF(C1049="","",MAX(0,SUMIFS(SONDERZAHLUNGEN!$E$9:$E$128,SONDERZAHLUNGEN!$B$9:$B$128,C1049,SONDERZAHLUNGEN!$C$9:$C$128,A1049,SONDERZAHLUNGEN!$H$9:$H$128,"OK",SONDERZAHLUNGEN!$F$9:$F$128,"Ja")-G1049))</x:f>
      </x:c>
    </x:row>
    <x:row r="1050" ht="19" customHeight="1">
      <x:c r="A1050" s="90" t="n">
        <x:f>MONATSBUDGET!$A$59</x:f>
        <x:v>47788</x:v>
      </x:c>
      <x:c r="B1050" t="n">
        <x:f>11</x:f>
        <x:v>11</x:v>
      </x:c>
      <x:c r="C1050" t="str">
        <x:f>IF($N$19="","",$N$19)</x:f>
      </x:c>
      <x:c r="D1050" s="88" t="str">
        <x:f>IF(C1050="","",I1030)</x:f>
      </x:c>
      <x:c r="E1050" s="88" t="str">
        <x:f>IF(C1050="","",ROUND(D1050*$P$19/12,2))</x:f>
      </x:c>
      <x:c r="F1050" s="88" t="str">
        <x:f>IF(C1050="","",MIN(D1050+E1050,$Q$19))</x:f>
      </x:c>
      <x:c r="G1050" s="88" t="str">
        <x:f>IF(C1050="","",MIN(MAX(0,D1050+E1050-F1050),SUMIFS(SONDERZAHLUNGEN!$E$9:$E$128,SONDERZAHLUNGEN!$B$9:$B$128,C1050,SONDERZAHLUNGEN!$C$9:$C$128,A1050,SONDERZAHLUNGEN!$H$9:$H$128,"OK",SONDERZAHLUNGEN!$F$9:$F$128,"Ja")))</x:f>
      </x:c>
      <x:c r="H1050" s="88" t="str">
        <x:f>IF(C1050="","",MIN(MAX(0,D1050+E1050-F1050-G1050),MAX(0,IF(MONATSBUDGET!$C$59="",0,MONATSBUDGET!$C$59)-SUM(F1040:F1059)-SUM(H1040:H1049))))</x:f>
      </x:c>
      <x:c r="I1050" s="88" t="str">
        <x:f>IF(C1050="","",MAX(0,ROUND(D1050+E1050-F1050-G1050-H1050,2)))</x:f>
      </x:c>
      <x:c r="J1050" s="88" t="str">
        <x:f>IF(C1050="","",F1050+G1050+H1050)</x:f>
      </x:c>
      <x:c r="K1050" s="88" t="str">
        <x:f>IF(C1050="","",MAX(0,SUMIFS(SONDERZAHLUNGEN!$E$9:$E$128,SONDERZAHLUNGEN!$B$9:$B$128,C1050,SONDERZAHLUNGEN!$C$9:$C$128,A1050,SONDERZAHLUNGEN!$H$9:$H$128,"OK",SONDERZAHLUNGEN!$F$9:$F$128,"Ja")-G1050))</x:f>
      </x:c>
    </x:row>
    <x:row r="1051" ht="19" customHeight="1">
      <x:c r="A1051" s="90" t="n">
        <x:f>MONATSBUDGET!$A$59</x:f>
        <x:v>47788</x:v>
      </x:c>
      <x:c r="B1051" t="n">
        <x:f>12</x:f>
        <x:v>12</x:v>
      </x:c>
      <x:c r="C1051" t="str">
        <x:f>IF($N$20="","",$N$20)</x:f>
      </x:c>
      <x:c r="D1051" s="88" t="str">
        <x:f>IF(C1051="","",I1031)</x:f>
      </x:c>
      <x:c r="E1051" s="88" t="str">
        <x:f>IF(C1051="","",ROUND(D1051*$P$20/12,2))</x:f>
      </x:c>
      <x:c r="F1051" s="88" t="str">
        <x:f>IF(C1051="","",MIN(D1051+E1051,$Q$20))</x:f>
      </x:c>
      <x:c r="G1051" s="88" t="str">
        <x:f>IF(C1051="","",MIN(MAX(0,D1051+E1051-F1051),SUMIFS(SONDERZAHLUNGEN!$E$9:$E$128,SONDERZAHLUNGEN!$B$9:$B$128,C1051,SONDERZAHLUNGEN!$C$9:$C$128,A1051,SONDERZAHLUNGEN!$H$9:$H$128,"OK",SONDERZAHLUNGEN!$F$9:$F$128,"Ja")))</x:f>
      </x:c>
      <x:c r="H1051" s="88" t="str">
        <x:f>IF(C1051="","",MIN(MAX(0,D1051+E1051-F1051-G1051),MAX(0,IF(MONATSBUDGET!$C$59="",0,MONATSBUDGET!$C$59)-SUM(F1040:F1059)-SUM(H1040:H1050))))</x:f>
      </x:c>
      <x:c r="I1051" s="88" t="str">
        <x:f>IF(C1051="","",MAX(0,ROUND(D1051+E1051-F1051-G1051-H1051,2)))</x:f>
      </x:c>
      <x:c r="J1051" s="88" t="str">
        <x:f>IF(C1051="","",F1051+G1051+H1051)</x:f>
      </x:c>
      <x:c r="K1051" s="88" t="str">
        <x:f>IF(C1051="","",MAX(0,SUMIFS(SONDERZAHLUNGEN!$E$9:$E$128,SONDERZAHLUNGEN!$B$9:$B$128,C1051,SONDERZAHLUNGEN!$C$9:$C$128,A1051,SONDERZAHLUNGEN!$H$9:$H$128,"OK",SONDERZAHLUNGEN!$F$9:$F$128,"Ja")-G1051))</x:f>
      </x:c>
    </x:row>
    <x:row r="1052" ht="19" customHeight="1">
      <x:c r="A1052" s="90" t="n">
        <x:f>MONATSBUDGET!$A$59</x:f>
        <x:v>47788</x:v>
      </x:c>
      <x:c r="B1052" t="n">
        <x:f>13</x:f>
        <x:v>13</x:v>
      </x:c>
      <x:c r="C1052" t="str">
        <x:f>IF($N$21="","",$N$21)</x:f>
      </x:c>
      <x:c r="D1052" s="88" t="str">
        <x:f>IF(C1052="","",I1032)</x:f>
      </x:c>
      <x:c r="E1052" s="88" t="str">
        <x:f>IF(C1052="","",ROUND(D1052*$P$21/12,2))</x:f>
      </x:c>
      <x:c r="F1052" s="88" t="str">
        <x:f>IF(C1052="","",MIN(D1052+E1052,$Q$21))</x:f>
      </x:c>
      <x:c r="G1052" s="88" t="str">
        <x:f>IF(C1052="","",MIN(MAX(0,D1052+E1052-F1052),SUMIFS(SONDERZAHLUNGEN!$E$9:$E$128,SONDERZAHLUNGEN!$B$9:$B$128,C1052,SONDERZAHLUNGEN!$C$9:$C$128,A1052,SONDERZAHLUNGEN!$H$9:$H$128,"OK",SONDERZAHLUNGEN!$F$9:$F$128,"Ja")))</x:f>
      </x:c>
      <x:c r="H1052" s="88" t="str">
        <x:f>IF(C1052="","",MIN(MAX(0,D1052+E1052-F1052-G1052),MAX(0,IF(MONATSBUDGET!$C$59="",0,MONATSBUDGET!$C$59)-SUM(F1040:F1059)-SUM(H1040:H1051))))</x:f>
      </x:c>
      <x:c r="I1052" s="88" t="str">
        <x:f>IF(C1052="","",MAX(0,ROUND(D1052+E1052-F1052-G1052-H1052,2)))</x:f>
      </x:c>
      <x:c r="J1052" s="88" t="str">
        <x:f>IF(C1052="","",F1052+G1052+H1052)</x:f>
      </x:c>
      <x:c r="K1052" s="88" t="str">
        <x:f>IF(C1052="","",MAX(0,SUMIFS(SONDERZAHLUNGEN!$E$9:$E$128,SONDERZAHLUNGEN!$B$9:$B$128,C1052,SONDERZAHLUNGEN!$C$9:$C$128,A1052,SONDERZAHLUNGEN!$H$9:$H$128,"OK",SONDERZAHLUNGEN!$F$9:$F$128,"Ja")-G1052))</x:f>
      </x:c>
    </x:row>
    <x:row r="1053" ht="19" customHeight="1">
      <x:c r="A1053" s="90" t="n">
        <x:f>MONATSBUDGET!$A$59</x:f>
        <x:v>47788</x:v>
      </x:c>
      <x:c r="B1053" t="n">
        <x:f>14</x:f>
        <x:v>14</x:v>
      </x:c>
      <x:c r="C1053" t="str">
        <x:f>IF($N$22="","",$N$22)</x:f>
      </x:c>
      <x:c r="D1053" s="88" t="str">
        <x:f>IF(C1053="","",I1033)</x:f>
      </x:c>
      <x:c r="E1053" s="88" t="str">
        <x:f>IF(C1053="","",ROUND(D1053*$P$22/12,2))</x:f>
      </x:c>
      <x:c r="F1053" s="88" t="str">
        <x:f>IF(C1053="","",MIN(D1053+E1053,$Q$22))</x:f>
      </x:c>
      <x:c r="G1053" s="88" t="str">
        <x:f>IF(C1053="","",MIN(MAX(0,D1053+E1053-F1053),SUMIFS(SONDERZAHLUNGEN!$E$9:$E$128,SONDERZAHLUNGEN!$B$9:$B$128,C1053,SONDERZAHLUNGEN!$C$9:$C$128,A1053,SONDERZAHLUNGEN!$H$9:$H$128,"OK",SONDERZAHLUNGEN!$F$9:$F$128,"Ja")))</x:f>
      </x:c>
      <x:c r="H1053" s="88" t="str">
        <x:f>IF(C1053="","",MIN(MAX(0,D1053+E1053-F1053-G1053),MAX(0,IF(MONATSBUDGET!$C$59="",0,MONATSBUDGET!$C$59)-SUM(F1040:F1059)-SUM(H1040:H1052))))</x:f>
      </x:c>
      <x:c r="I1053" s="88" t="str">
        <x:f>IF(C1053="","",MAX(0,ROUND(D1053+E1053-F1053-G1053-H1053,2)))</x:f>
      </x:c>
      <x:c r="J1053" s="88" t="str">
        <x:f>IF(C1053="","",F1053+G1053+H1053)</x:f>
      </x:c>
      <x:c r="K1053" s="88" t="str">
        <x:f>IF(C1053="","",MAX(0,SUMIFS(SONDERZAHLUNGEN!$E$9:$E$128,SONDERZAHLUNGEN!$B$9:$B$128,C1053,SONDERZAHLUNGEN!$C$9:$C$128,A1053,SONDERZAHLUNGEN!$H$9:$H$128,"OK",SONDERZAHLUNGEN!$F$9:$F$128,"Ja")-G1053))</x:f>
      </x:c>
    </x:row>
    <x:row r="1054" ht="19" customHeight="1">
      <x:c r="A1054" s="90" t="n">
        <x:f>MONATSBUDGET!$A$59</x:f>
        <x:v>47788</x:v>
      </x:c>
      <x:c r="B1054" t="n">
        <x:f>15</x:f>
        <x:v>15</x:v>
      </x:c>
      <x:c r="C1054" t="str">
        <x:f>IF($N$23="","",$N$23)</x:f>
      </x:c>
      <x:c r="D1054" s="88" t="str">
        <x:f>IF(C1054="","",I1034)</x:f>
      </x:c>
      <x:c r="E1054" s="88" t="str">
        <x:f>IF(C1054="","",ROUND(D1054*$P$23/12,2))</x:f>
      </x:c>
      <x:c r="F1054" s="88" t="str">
        <x:f>IF(C1054="","",MIN(D1054+E1054,$Q$23))</x:f>
      </x:c>
      <x:c r="G1054" s="88" t="str">
        <x:f>IF(C1054="","",MIN(MAX(0,D1054+E1054-F1054),SUMIFS(SONDERZAHLUNGEN!$E$9:$E$128,SONDERZAHLUNGEN!$B$9:$B$128,C1054,SONDERZAHLUNGEN!$C$9:$C$128,A1054,SONDERZAHLUNGEN!$H$9:$H$128,"OK",SONDERZAHLUNGEN!$F$9:$F$128,"Ja")))</x:f>
      </x:c>
      <x:c r="H1054" s="88" t="str">
        <x:f>IF(C1054="","",MIN(MAX(0,D1054+E1054-F1054-G1054),MAX(0,IF(MONATSBUDGET!$C$59="",0,MONATSBUDGET!$C$59)-SUM(F1040:F1059)-SUM(H1040:H1053))))</x:f>
      </x:c>
      <x:c r="I1054" s="88" t="str">
        <x:f>IF(C1054="","",MAX(0,ROUND(D1054+E1054-F1054-G1054-H1054,2)))</x:f>
      </x:c>
      <x:c r="J1054" s="88" t="str">
        <x:f>IF(C1054="","",F1054+G1054+H1054)</x:f>
      </x:c>
      <x:c r="K1054" s="88" t="str">
        <x:f>IF(C1054="","",MAX(0,SUMIFS(SONDERZAHLUNGEN!$E$9:$E$128,SONDERZAHLUNGEN!$B$9:$B$128,C1054,SONDERZAHLUNGEN!$C$9:$C$128,A1054,SONDERZAHLUNGEN!$H$9:$H$128,"OK",SONDERZAHLUNGEN!$F$9:$F$128,"Ja")-G1054))</x:f>
      </x:c>
    </x:row>
    <x:row r="1055" ht="19" customHeight="1">
      <x:c r="A1055" s="90" t="n">
        <x:f>MONATSBUDGET!$A$59</x:f>
        <x:v>47788</x:v>
      </x:c>
      <x:c r="B1055" t="n">
        <x:f>16</x:f>
        <x:v>16</x:v>
      </x:c>
      <x:c r="C1055" t="str">
        <x:f>IF($N$24="","",$N$24)</x:f>
      </x:c>
      <x:c r="D1055" s="88" t="str">
        <x:f>IF(C1055="","",I1035)</x:f>
      </x:c>
      <x:c r="E1055" s="88" t="str">
        <x:f>IF(C1055="","",ROUND(D1055*$P$24/12,2))</x:f>
      </x:c>
      <x:c r="F1055" s="88" t="str">
        <x:f>IF(C1055="","",MIN(D1055+E1055,$Q$24))</x:f>
      </x:c>
      <x:c r="G1055" s="88" t="str">
        <x:f>IF(C1055="","",MIN(MAX(0,D1055+E1055-F1055),SUMIFS(SONDERZAHLUNGEN!$E$9:$E$128,SONDERZAHLUNGEN!$B$9:$B$128,C1055,SONDERZAHLUNGEN!$C$9:$C$128,A1055,SONDERZAHLUNGEN!$H$9:$H$128,"OK",SONDERZAHLUNGEN!$F$9:$F$128,"Ja")))</x:f>
      </x:c>
      <x:c r="H1055" s="88" t="str">
        <x:f>IF(C1055="","",MIN(MAX(0,D1055+E1055-F1055-G1055),MAX(0,IF(MONATSBUDGET!$C$59="",0,MONATSBUDGET!$C$59)-SUM(F1040:F1059)-SUM(H1040:H1054))))</x:f>
      </x:c>
      <x:c r="I1055" s="88" t="str">
        <x:f>IF(C1055="","",MAX(0,ROUND(D1055+E1055-F1055-G1055-H1055,2)))</x:f>
      </x:c>
      <x:c r="J1055" s="88" t="str">
        <x:f>IF(C1055="","",F1055+G1055+H1055)</x:f>
      </x:c>
      <x:c r="K1055" s="88" t="str">
        <x:f>IF(C1055="","",MAX(0,SUMIFS(SONDERZAHLUNGEN!$E$9:$E$128,SONDERZAHLUNGEN!$B$9:$B$128,C1055,SONDERZAHLUNGEN!$C$9:$C$128,A1055,SONDERZAHLUNGEN!$H$9:$H$128,"OK",SONDERZAHLUNGEN!$F$9:$F$128,"Ja")-G1055))</x:f>
      </x:c>
    </x:row>
    <x:row r="1056" ht="19" customHeight="1">
      <x:c r="A1056" s="90" t="n">
        <x:f>MONATSBUDGET!$A$59</x:f>
        <x:v>47788</x:v>
      </x:c>
      <x:c r="B1056" t="n">
        <x:f>17</x:f>
        <x:v>17</x:v>
      </x:c>
      <x:c r="C1056" t="str">
        <x:f>IF($N$25="","",$N$25)</x:f>
      </x:c>
      <x:c r="D1056" s="88" t="str">
        <x:f>IF(C1056="","",I1036)</x:f>
      </x:c>
      <x:c r="E1056" s="88" t="str">
        <x:f>IF(C1056="","",ROUND(D1056*$P$25/12,2))</x:f>
      </x:c>
      <x:c r="F1056" s="88" t="str">
        <x:f>IF(C1056="","",MIN(D1056+E1056,$Q$25))</x:f>
      </x:c>
      <x:c r="G1056" s="88" t="str">
        <x:f>IF(C1056="","",MIN(MAX(0,D1056+E1056-F1056),SUMIFS(SONDERZAHLUNGEN!$E$9:$E$128,SONDERZAHLUNGEN!$B$9:$B$128,C1056,SONDERZAHLUNGEN!$C$9:$C$128,A1056,SONDERZAHLUNGEN!$H$9:$H$128,"OK",SONDERZAHLUNGEN!$F$9:$F$128,"Ja")))</x:f>
      </x:c>
      <x:c r="H1056" s="88" t="str">
        <x:f>IF(C1056="","",MIN(MAX(0,D1056+E1056-F1056-G1056),MAX(0,IF(MONATSBUDGET!$C$59="",0,MONATSBUDGET!$C$59)-SUM(F1040:F1059)-SUM(H1040:H1055))))</x:f>
      </x:c>
      <x:c r="I1056" s="88" t="str">
        <x:f>IF(C1056="","",MAX(0,ROUND(D1056+E1056-F1056-G1056-H1056,2)))</x:f>
      </x:c>
      <x:c r="J1056" s="88" t="str">
        <x:f>IF(C1056="","",F1056+G1056+H1056)</x:f>
      </x:c>
      <x:c r="K1056" s="88" t="str">
        <x:f>IF(C1056="","",MAX(0,SUMIFS(SONDERZAHLUNGEN!$E$9:$E$128,SONDERZAHLUNGEN!$B$9:$B$128,C1056,SONDERZAHLUNGEN!$C$9:$C$128,A1056,SONDERZAHLUNGEN!$H$9:$H$128,"OK",SONDERZAHLUNGEN!$F$9:$F$128,"Ja")-G1056))</x:f>
      </x:c>
    </x:row>
    <x:row r="1057" ht="19" customHeight="1">
      <x:c r="A1057" s="90" t="n">
        <x:f>MONATSBUDGET!$A$59</x:f>
        <x:v>47788</x:v>
      </x:c>
      <x:c r="B1057" t="n">
        <x:f>18</x:f>
        <x:v>18</x:v>
      </x:c>
      <x:c r="C1057" t="str">
        <x:f>IF($N$26="","",$N$26)</x:f>
      </x:c>
      <x:c r="D1057" s="88" t="str">
        <x:f>IF(C1057="","",I1037)</x:f>
      </x:c>
      <x:c r="E1057" s="88" t="str">
        <x:f>IF(C1057="","",ROUND(D1057*$P$26/12,2))</x:f>
      </x:c>
      <x:c r="F1057" s="88" t="str">
        <x:f>IF(C1057="","",MIN(D1057+E1057,$Q$26))</x:f>
      </x:c>
      <x:c r="G1057" s="88" t="str">
        <x:f>IF(C1057="","",MIN(MAX(0,D1057+E1057-F1057),SUMIFS(SONDERZAHLUNGEN!$E$9:$E$128,SONDERZAHLUNGEN!$B$9:$B$128,C1057,SONDERZAHLUNGEN!$C$9:$C$128,A1057,SONDERZAHLUNGEN!$H$9:$H$128,"OK",SONDERZAHLUNGEN!$F$9:$F$128,"Ja")))</x:f>
      </x:c>
      <x:c r="H1057" s="88" t="str">
        <x:f>IF(C1057="","",MIN(MAX(0,D1057+E1057-F1057-G1057),MAX(0,IF(MONATSBUDGET!$C$59="",0,MONATSBUDGET!$C$59)-SUM(F1040:F1059)-SUM(H1040:H1056))))</x:f>
      </x:c>
      <x:c r="I1057" s="88" t="str">
        <x:f>IF(C1057="","",MAX(0,ROUND(D1057+E1057-F1057-G1057-H1057,2)))</x:f>
      </x:c>
      <x:c r="J1057" s="88" t="str">
        <x:f>IF(C1057="","",F1057+G1057+H1057)</x:f>
      </x:c>
      <x:c r="K1057" s="88" t="str">
        <x:f>IF(C1057="","",MAX(0,SUMIFS(SONDERZAHLUNGEN!$E$9:$E$128,SONDERZAHLUNGEN!$B$9:$B$128,C1057,SONDERZAHLUNGEN!$C$9:$C$128,A1057,SONDERZAHLUNGEN!$H$9:$H$128,"OK",SONDERZAHLUNGEN!$F$9:$F$128,"Ja")-G1057))</x:f>
      </x:c>
    </x:row>
    <x:row r="1058" ht="19" customHeight="1">
      <x:c r="A1058" s="90" t="n">
        <x:f>MONATSBUDGET!$A$59</x:f>
        <x:v>47788</x:v>
      </x:c>
      <x:c r="B1058" t="n">
        <x:f>19</x:f>
        <x:v>19</x:v>
      </x:c>
      <x:c r="C1058" t="str">
        <x:f>IF($N$27="","",$N$27)</x:f>
      </x:c>
      <x:c r="D1058" s="88" t="str">
        <x:f>IF(C1058="","",I1038)</x:f>
      </x:c>
      <x:c r="E1058" s="88" t="str">
        <x:f>IF(C1058="","",ROUND(D1058*$P$27/12,2))</x:f>
      </x:c>
      <x:c r="F1058" s="88" t="str">
        <x:f>IF(C1058="","",MIN(D1058+E1058,$Q$27))</x:f>
      </x:c>
      <x:c r="G1058" s="88" t="str">
        <x:f>IF(C1058="","",MIN(MAX(0,D1058+E1058-F1058),SUMIFS(SONDERZAHLUNGEN!$E$9:$E$128,SONDERZAHLUNGEN!$B$9:$B$128,C1058,SONDERZAHLUNGEN!$C$9:$C$128,A1058,SONDERZAHLUNGEN!$H$9:$H$128,"OK",SONDERZAHLUNGEN!$F$9:$F$128,"Ja")))</x:f>
      </x:c>
      <x:c r="H1058" s="88" t="str">
        <x:f>IF(C1058="","",MIN(MAX(0,D1058+E1058-F1058-G1058),MAX(0,IF(MONATSBUDGET!$C$59="",0,MONATSBUDGET!$C$59)-SUM(F1040:F1059)-SUM(H1040:H1057))))</x:f>
      </x:c>
      <x:c r="I1058" s="88" t="str">
        <x:f>IF(C1058="","",MAX(0,ROUND(D1058+E1058-F1058-G1058-H1058,2)))</x:f>
      </x:c>
      <x:c r="J1058" s="88" t="str">
        <x:f>IF(C1058="","",F1058+G1058+H1058)</x:f>
      </x:c>
      <x:c r="K1058" s="88" t="str">
        <x:f>IF(C1058="","",MAX(0,SUMIFS(SONDERZAHLUNGEN!$E$9:$E$128,SONDERZAHLUNGEN!$B$9:$B$128,C1058,SONDERZAHLUNGEN!$C$9:$C$128,A1058,SONDERZAHLUNGEN!$H$9:$H$128,"OK",SONDERZAHLUNGEN!$F$9:$F$128,"Ja")-G1058))</x:f>
      </x:c>
    </x:row>
    <x:row r="1059" ht="19" customHeight="1">
      <x:c r="A1059" s="90" t="n">
        <x:f>MONATSBUDGET!$A$59</x:f>
        <x:v>47788</x:v>
      </x:c>
      <x:c r="B1059" t="n">
        <x:f>20</x:f>
        <x:v>20</x:v>
      </x:c>
      <x:c r="C1059" t="str">
        <x:f>IF($N$28="","",$N$28)</x:f>
      </x:c>
      <x:c r="D1059" s="88" t="str">
        <x:f>IF(C1059="","",I1039)</x:f>
      </x:c>
      <x:c r="E1059" s="88" t="str">
        <x:f>IF(C1059="","",ROUND(D1059*$P$28/12,2))</x:f>
      </x:c>
      <x:c r="F1059" s="88" t="str">
        <x:f>IF(C1059="","",MIN(D1059+E1059,$Q$28))</x:f>
      </x:c>
      <x:c r="G1059" s="88" t="str">
        <x:f>IF(C1059="","",MIN(MAX(0,D1059+E1059-F1059),SUMIFS(SONDERZAHLUNGEN!$E$9:$E$128,SONDERZAHLUNGEN!$B$9:$B$128,C1059,SONDERZAHLUNGEN!$C$9:$C$128,A1059,SONDERZAHLUNGEN!$H$9:$H$128,"OK",SONDERZAHLUNGEN!$F$9:$F$128,"Ja")))</x:f>
      </x:c>
      <x:c r="H1059" s="88" t="str">
        <x:f>IF(C1059="","",MIN(MAX(0,D1059+E1059-F1059-G1059),MAX(0,IF(MONATSBUDGET!$C$59="",0,MONATSBUDGET!$C$59)-SUM(F1040:F1059)-SUM(H1040:H1058))))</x:f>
      </x:c>
      <x:c r="I1059" s="88" t="str">
        <x:f>IF(C1059="","",MAX(0,ROUND(D1059+E1059-F1059-G1059-H1059,2)))</x:f>
      </x:c>
      <x:c r="J1059" s="88" t="str">
        <x:f>IF(C1059="","",F1059+G1059+H1059)</x:f>
      </x:c>
      <x:c r="K1059" s="88" t="str">
        <x:f>IF(C1059="","",MAX(0,SUMIFS(SONDERZAHLUNGEN!$E$9:$E$128,SONDERZAHLUNGEN!$B$9:$B$128,C1059,SONDERZAHLUNGEN!$C$9:$C$128,A1059,SONDERZAHLUNGEN!$H$9:$H$128,"OK",SONDERZAHLUNGEN!$F$9:$F$128,"Ja")-G1059))</x:f>
      </x:c>
    </x:row>
    <x:row r="1060" ht="19" customHeight="1">
      <x:c r="A1060" s="90" t="n">
        <x:f>MONATSBUDGET!$A$60</x:f>
        <x:v>47818</x:v>
      </x:c>
      <x:c r="B1060" t="n">
        <x:f>1</x:f>
        <x:v>1</x:v>
      </x:c>
      <x:c r="C1060" t="str">
        <x:f>IF($N$9="","",$N$9)</x:f>
      </x:c>
      <x:c r="D1060" s="88" t="str">
        <x:f>IF(C1060="","",I1040)</x:f>
      </x:c>
      <x:c r="E1060" s="88" t="str">
        <x:f>IF(C1060="","",ROUND(D1060*$P$9/12,2))</x:f>
      </x:c>
      <x:c r="F1060" s="88" t="str">
        <x:f>IF(C1060="","",MIN(D1060+E1060,$Q$9))</x:f>
      </x:c>
      <x:c r="G1060" s="88" t="str">
        <x:f>IF(C1060="","",MIN(MAX(0,D1060+E1060-F1060),SUMIFS(SONDERZAHLUNGEN!$E$9:$E$128,SONDERZAHLUNGEN!$B$9:$B$128,C1060,SONDERZAHLUNGEN!$C$9:$C$128,A1060,SONDERZAHLUNGEN!$H$9:$H$128,"OK",SONDERZAHLUNGEN!$F$9:$F$128,"Ja")))</x:f>
      </x:c>
      <x:c r="H1060" s="88" t="str">
        <x:f>IF(C1060="","",MIN(MAX(0,D1060+E1060-F1060-G1060),MAX(0,IF(MONATSBUDGET!$C$60="",0,MONATSBUDGET!$C$60)-SUM(F1060:F1079)-0)))</x:f>
      </x:c>
      <x:c r="I1060" s="88" t="str">
        <x:f>IF(C1060="","",MAX(0,ROUND(D1060+E1060-F1060-G1060-H1060,2)))</x:f>
      </x:c>
      <x:c r="J1060" s="88" t="str">
        <x:f>IF(C1060="","",F1060+G1060+H1060)</x:f>
      </x:c>
      <x:c r="K1060" s="88" t="str">
        <x:f>IF(C1060="","",MAX(0,SUMIFS(SONDERZAHLUNGEN!$E$9:$E$128,SONDERZAHLUNGEN!$B$9:$B$128,C1060,SONDERZAHLUNGEN!$C$9:$C$128,A1060,SONDERZAHLUNGEN!$H$9:$H$128,"OK",SONDERZAHLUNGEN!$F$9:$F$128,"Ja")-G1060))</x:f>
      </x:c>
    </x:row>
    <x:row r="1061" ht="19" customHeight="1">
      <x:c r="A1061" s="90" t="n">
        <x:f>MONATSBUDGET!$A$60</x:f>
        <x:v>47818</x:v>
      </x:c>
      <x:c r="B1061" t="n">
        <x:f>2</x:f>
        <x:v>2</x:v>
      </x:c>
      <x:c r="C1061" t="str">
        <x:f>IF($N$10="","",$N$10)</x:f>
      </x:c>
      <x:c r="D1061" s="88" t="str">
        <x:f>IF(C1061="","",I1041)</x:f>
      </x:c>
      <x:c r="E1061" s="88" t="str">
        <x:f>IF(C1061="","",ROUND(D1061*$P$10/12,2))</x:f>
      </x:c>
      <x:c r="F1061" s="88" t="str">
        <x:f>IF(C1061="","",MIN(D1061+E1061,$Q$10))</x:f>
      </x:c>
      <x:c r="G1061" s="88" t="str">
        <x:f>IF(C1061="","",MIN(MAX(0,D1061+E1061-F1061),SUMIFS(SONDERZAHLUNGEN!$E$9:$E$128,SONDERZAHLUNGEN!$B$9:$B$128,C1061,SONDERZAHLUNGEN!$C$9:$C$128,A1061,SONDERZAHLUNGEN!$H$9:$H$128,"OK",SONDERZAHLUNGEN!$F$9:$F$128,"Ja")))</x:f>
      </x:c>
      <x:c r="H1061" s="88" t="str">
        <x:f>IF(C1061="","",MIN(MAX(0,D1061+E1061-F1061-G1061),MAX(0,IF(MONATSBUDGET!$C$60="",0,MONATSBUDGET!$C$60)-SUM(F1060:F1079)-SUM(H1060:H1060))))</x:f>
      </x:c>
      <x:c r="I1061" s="88" t="str">
        <x:f>IF(C1061="","",MAX(0,ROUND(D1061+E1061-F1061-G1061-H1061,2)))</x:f>
      </x:c>
      <x:c r="J1061" s="88" t="str">
        <x:f>IF(C1061="","",F1061+G1061+H1061)</x:f>
      </x:c>
      <x:c r="K1061" s="88" t="str">
        <x:f>IF(C1061="","",MAX(0,SUMIFS(SONDERZAHLUNGEN!$E$9:$E$128,SONDERZAHLUNGEN!$B$9:$B$128,C1061,SONDERZAHLUNGEN!$C$9:$C$128,A1061,SONDERZAHLUNGEN!$H$9:$H$128,"OK",SONDERZAHLUNGEN!$F$9:$F$128,"Ja")-G1061))</x:f>
      </x:c>
    </x:row>
    <x:row r="1062" ht="19" customHeight="1">
      <x:c r="A1062" s="90" t="n">
        <x:f>MONATSBUDGET!$A$60</x:f>
        <x:v>47818</x:v>
      </x:c>
      <x:c r="B1062" t="n">
        <x:f>3</x:f>
        <x:v>3</x:v>
      </x:c>
      <x:c r="C1062" t="str">
        <x:f>IF($N$11="","",$N$11)</x:f>
      </x:c>
      <x:c r="D1062" s="88" t="str">
        <x:f>IF(C1062="","",I1042)</x:f>
      </x:c>
      <x:c r="E1062" s="88" t="str">
        <x:f>IF(C1062="","",ROUND(D1062*$P$11/12,2))</x:f>
      </x:c>
      <x:c r="F1062" s="88" t="str">
        <x:f>IF(C1062="","",MIN(D1062+E1062,$Q$11))</x:f>
      </x:c>
      <x:c r="G1062" s="88" t="str">
        <x:f>IF(C1062="","",MIN(MAX(0,D1062+E1062-F1062),SUMIFS(SONDERZAHLUNGEN!$E$9:$E$128,SONDERZAHLUNGEN!$B$9:$B$128,C1062,SONDERZAHLUNGEN!$C$9:$C$128,A1062,SONDERZAHLUNGEN!$H$9:$H$128,"OK",SONDERZAHLUNGEN!$F$9:$F$128,"Ja")))</x:f>
      </x:c>
      <x:c r="H1062" s="88" t="str">
        <x:f>IF(C1062="","",MIN(MAX(0,D1062+E1062-F1062-G1062),MAX(0,IF(MONATSBUDGET!$C$60="",0,MONATSBUDGET!$C$60)-SUM(F1060:F1079)-SUM(H1060:H1061))))</x:f>
      </x:c>
      <x:c r="I1062" s="88" t="str">
        <x:f>IF(C1062="","",MAX(0,ROUND(D1062+E1062-F1062-G1062-H1062,2)))</x:f>
      </x:c>
      <x:c r="J1062" s="88" t="str">
        <x:f>IF(C1062="","",F1062+G1062+H1062)</x:f>
      </x:c>
      <x:c r="K1062" s="88" t="str">
        <x:f>IF(C1062="","",MAX(0,SUMIFS(SONDERZAHLUNGEN!$E$9:$E$128,SONDERZAHLUNGEN!$B$9:$B$128,C1062,SONDERZAHLUNGEN!$C$9:$C$128,A1062,SONDERZAHLUNGEN!$H$9:$H$128,"OK",SONDERZAHLUNGEN!$F$9:$F$128,"Ja")-G1062))</x:f>
      </x:c>
    </x:row>
    <x:row r="1063" ht="19" customHeight="1">
      <x:c r="A1063" s="90" t="n">
        <x:f>MONATSBUDGET!$A$60</x:f>
        <x:v>47818</x:v>
      </x:c>
      <x:c r="B1063" t="n">
        <x:f>4</x:f>
        <x:v>4</x:v>
      </x:c>
      <x:c r="C1063" t="str">
        <x:f>IF($N$12="","",$N$12)</x:f>
      </x:c>
      <x:c r="D1063" s="88" t="str">
        <x:f>IF(C1063="","",I1043)</x:f>
      </x:c>
      <x:c r="E1063" s="88" t="str">
        <x:f>IF(C1063="","",ROUND(D1063*$P$12/12,2))</x:f>
      </x:c>
      <x:c r="F1063" s="88" t="str">
        <x:f>IF(C1063="","",MIN(D1063+E1063,$Q$12))</x:f>
      </x:c>
      <x:c r="G1063" s="88" t="str">
        <x:f>IF(C1063="","",MIN(MAX(0,D1063+E1063-F1063),SUMIFS(SONDERZAHLUNGEN!$E$9:$E$128,SONDERZAHLUNGEN!$B$9:$B$128,C1063,SONDERZAHLUNGEN!$C$9:$C$128,A1063,SONDERZAHLUNGEN!$H$9:$H$128,"OK",SONDERZAHLUNGEN!$F$9:$F$128,"Ja")))</x:f>
      </x:c>
      <x:c r="H1063" s="88" t="str">
        <x:f>IF(C1063="","",MIN(MAX(0,D1063+E1063-F1063-G1063),MAX(0,IF(MONATSBUDGET!$C$60="",0,MONATSBUDGET!$C$60)-SUM(F1060:F1079)-SUM(H1060:H1062))))</x:f>
      </x:c>
      <x:c r="I1063" s="88" t="str">
        <x:f>IF(C1063="","",MAX(0,ROUND(D1063+E1063-F1063-G1063-H1063,2)))</x:f>
      </x:c>
      <x:c r="J1063" s="88" t="str">
        <x:f>IF(C1063="","",F1063+G1063+H1063)</x:f>
      </x:c>
      <x:c r="K1063" s="88" t="str">
        <x:f>IF(C1063="","",MAX(0,SUMIFS(SONDERZAHLUNGEN!$E$9:$E$128,SONDERZAHLUNGEN!$B$9:$B$128,C1063,SONDERZAHLUNGEN!$C$9:$C$128,A1063,SONDERZAHLUNGEN!$H$9:$H$128,"OK",SONDERZAHLUNGEN!$F$9:$F$128,"Ja")-G1063))</x:f>
      </x:c>
    </x:row>
    <x:row r="1064" ht="19" customHeight="1">
      <x:c r="A1064" s="90" t="n">
        <x:f>MONATSBUDGET!$A$60</x:f>
        <x:v>47818</x:v>
      </x:c>
      <x:c r="B1064" t="n">
        <x:f>5</x:f>
        <x:v>5</x:v>
      </x:c>
      <x:c r="C1064" t="str">
        <x:f>IF($N$13="","",$N$13)</x:f>
      </x:c>
      <x:c r="D1064" s="88" t="str">
        <x:f>IF(C1064="","",I1044)</x:f>
      </x:c>
      <x:c r="E1064" s="88" t="str">
        <x:f>IF(C1064="","",ROUND(D1064*$P$13/12,2))</x:f>
      </x:c>
      <x:c r="F1064" s="88" t="str">
        <x:f>IF(C1064="","",MIN(D1064+E1064,$Q$13))</x:f>
      </x:c>
      <x:c r="G1064" s="88" t="str">
        <x:f>IF(C1064="","",MIN(MAX(0,D1064+E1064-F1064),SUMIFS(SONDERZAHLUNGEN!$E$9:$E$128,SONDERZAHLUNGEN!$B$9:$B$128,C1064,SONDERZAHLUNGEN!$C$9:$C$128,A1064,SONDERZAHLUNGEN!$H$9:$H$128,"OK",SONDERZAHLUNGEN!$F$9:$F$128,"Ja")))</x:f>
      </x:c>
      <x:c r="H1064" s="88" t="str">
        <x:f>IF(C1064="","",MIN(MAX(0,D1064+E1064-F1064-G1064),MAX(0,IF(MONATSBUDGET!$C$60="",0,MONATSBUDGET!$C$60)-SUM(F1060:F1079)-SUM(H1060:H1063))))</x:f>
      </x:c>
      <x:c r="I1064" s="88" t="str">
        <x:f>IF(C1064="","",MAX(0,ROUND(D1064+E1064-F1064-G1064-H1064,2)))</x:f>
      </x:c>
      <x:c r="J1064" s="88" t="str">
        <x:f>IF(C1064="","",F1064+G1064+H1064)</x:f>
      </x:c>
      <x:c r="K1064" s="88" t="str">
        <x:f>IF(C1064="","",MAX(0,SUMIFS(SONDERZAHLUNGEN!$E$9:$E$128,SONDERZAHLUNGEN!$B$9:$B$128,C1064,SONDERZAHLUNGEN!$C$9:$C$128,A1064,SONDERZAHLUNGEN!$H$9:$H$128,"OK",SONDERZAHLUNGEN!$F$9:$F$128,"Ja")-G1064))</x:f>
      </x:c>
    </x:row>
    <x:row r="1065" ht="19" customHeight="1">
      <x:c r="A1065" s="90" t="n">
        <x:f>MONATSBUDGET!$A$60</x:f>
        <x:v>47818</x:v>
      </x:c>
      <x:c r="B1065" t="n">
        <x:f>6</x:f>
        <x:v>6</x:v>
      </x:c>
      <x:c r="C1065" t="str">
        <x:f>IF($N$14="","",$N$14)</x:f>
      </x:c>
      <x:c r="D1065" s="88" t="str">
        <x:f>IF(C1065="","",I1045)</x:f>
      </x:c>
      <x:c r="E1065" s="88" t="str">
        <x:f>IF(C1065="","",ROUND(D1065*$P$14/12,2))</x:f>
      </x:c>
      <x:c r="F1065" s="88" t="str">
        <x:f>IF(C1065="","",MIN(D1065+E1065,$Q$14))</x:f>
      </x:c>
      <x:c r="G1065" s="88" t="str">
        <x:f>IF(C1065="","",MIN(MAX(0,D1065+E1065-F1065),SUMIFS(SONDERZAHLUNGEN!$E$9:$E$128,SONDERZAHLUNGEN!$B$9:$B$128,C1065,SONDERZAHLUNGEN!$C$9:$C$128,A1065,SONDERZAHLUNGEN!$H$9:$H$128,"OK",SONDERZAHLUNGEN!$F$9:$F$128,"Ja")))</x:f>
      </x:c>
      <x:c r="H1065" s="88" t="str">
        <x:f>IF(C1065="","",MIN(MAX(0,D1065+E1065-F1065-G1065),MAX(0,IF(MONATSBUDGET!$C$60="",0,MONATSBUDGET!$C$60)-SUM(F1060:F1079)-SUM(H1060:H1064))))</x:f>
      </x:c>
      <x:c r="I1065" s="88" t="str">
        <x:f>IF(C1065="","",MAX(0,ROUND(D1065+E1065-F1065-G1065-H1065,2)))</x:f>
      </x:c>
      <x:c r="J1065" s="88" t="str">
        <x:f>IF(C1065="","",F1065+G1065+H1065)</x:f>
      </x:c>
      <x:c r="K1065" s="88" t="str">
        <x:f>IF(C1065="","",MAX(0,SUMIFS(SONDERZAHLUNGEN!$E$9:$E$128,SONDERZAHLUNGEN!$B$9:$B$128,C1065,SONDERZAHLUNGEN!$C$9:$C$128,A1065,SONDERZAHLUNGEN!$H$9:$H$128,"OK",SONDERZAHLUNGEN!$F$9:$F$128,"Ja")-G1065))</x:f>
      </x:c>
    </x:row>
    <x:row r="1066" ht="19" customHeight="1">
      <x:c r="A1066" s="90" t="n">
        <x:f>MONATSBUDGET!$A$60</x:f>
        <x:v>47818</x:v>
      </x:c>
      <x:c r="B1066" t="n">
        <x:f>7</x:f>
        <x:v>7</x:v>
      </x:c>
      <x:c r="C1066" t="str">
        <x:f>IF($N$15="","",$N$15)</x:f>
      </x:c>
      <x:c r="D1066" s="88" t="str">
        <x:f>IF(C1066="","",I1046)</x:f>
      </x:c>
      <x:c r="E1066" s="88" t="str">
        <x:f>IF(C1066="","",ROUND(D1066*$P$15/12,2))</x:f>
      </x:c>
      <x:c r="F1066" s="88" t="str">
        <x:f>IF(C1066="","",MIN(D1066+E1066,$Q$15))</x:f>
      </x:c>
      <x:c r="G1066" s="88" t="str">
        <x:f>IF(C1066="","",MIN(MAX(0,D1066+E1066-F1066),SUMIFS(SONDERZAHLUNGEN!$E$9:$E$128,SONDERZAHLUNGEN!$B$9:$B$128,C1066,SONDERZAHLUNGEN!$C$9:$C$128,A1066,SONDERZAHLUNGEN!$H$9:$H$128,"OK",SONDERZAHLUNGEN!$F$9:$F$128,"Ja")))</x:f>
      </x:c>
      <x:c r="H1066" s="88" t="str">
        <x:f>IF(C1066="","",MIN(MAX(0,D1066+E1066-F1066-G1066),MAX(0,IF(MONATSBUDGET!$C$60="",0,MONATSBUDGET!$C$60)-SUM(F1060:F1079)-SUM(H1060:H1065))))</x:f>
      </x:c>
      <x:c r="I1066" s="88" t="str">
        <x:f>IF(C1066="","",MAX(0,ROUND(D1066+E1066-F1066-G1066-H1066,2)))</x:f>
      </x:c>
      <x:c r="J1066" s="88" t="str">
        <x:f>IF(C1066="","",F1066+G1066+H1066)</x:f>
      </x:c>
      <x:c r="K1066" s="88" t="str">
        <x:f>IF(C1066="","",MAX(0,SUMIFS(SONDERZAHLUNGEN!$E$9:$E$128,SONDERZAHLUNGEN!$B$9:$B$128,C1066,SONDERZAHLUNGEN!$C$9:$C$128,A1066,SONDERZAHLUNGEN!$H$9:$H$128,"OK",SONDERZAHLUNGEN!$F$9:$F$128,"Ja")-G1066))</x:f>
      </x:c>
    </x:row>
    <x:row r="1067" ht="19" customHeight="1">
      <x:c r="A1067" s="90" t="n">
        <x:f>MONATSBUDGET!$A$60</x:f>
        <x:v>47818</x:v>
      </x:c>
      <x:c r="B1067" t="n">
        <x:f>8</x:f>
        <x:v>8</x:v>
      </x:c>
      <x:c r="C1067" t="str">
        <x:f>IF($N$16="","",$N$16)</x:f>
      </x:c>
      <x:c r="D1067" s="88" t="str">
        <x:f>IF(C1067="","",I1047)</x:f>
      </x:c>
      <x:c r="E1067" s="88" t="str">
        <x:f>IF(C1067="","",ROUND(D1067*$P$16/12,2))</x:f>
      </x:c>
      <x:c r="F1067" s="88" t="str">
        <x:f>IF(C1067="","",MIN(D1067+E1067,$Q$16))</x:f>
      </x:c>
      <x:c r="G1067" s="88" t="str">
        <x:f>IF(C1067="","",MIN(MAX(0,D1067+E1067-F1067),SUMIFS(SONDERZAHLUNGEN!$E$9:$E$128,SONDERZAHLUNGEN!$B$9:$B$128,C1067,SONDERZAHLUNGEN!$C$9:$C$128,A1067,SONDERZAHLUNGEN!$H$9:$H$128,"OK",SONDERZAHLUNGEN!$F$9:$F$128,"Ja")))</x:f>
      </x:c>
      <x:c r="H1067" s="88" t="str">
        <x:f>IF(C1067="","",MIN(MAX(0,D1067+E1067-F1067-G1067),MAX(0,IF(MONATSBUDGET!$C$60="",0,MONATSBUDGET!$C$60)-SUM(F1060:F1079)-SUM(H1060:H1066))))</x:f>
      </x:c>
      <x:c r="I1067" s="88" t="str">
        <x:f>IF(C1067="","",MAX(0,ROUND(D1067+E1067-F1067-G1067-H1067,2)))</x:f>
      </x:c>
      <x:c r="J1067" s="88" t="str">
        <x:f>IF(C1067="","",F1067+G1067+H1067)</x:f>
      </x:c>
      <x:c r="K1067" s="88" t="str">
        <x:f>IF(C1067="","",MAX(0,SUMIFS(SONDERZAHLUNGEN!$E$9:$E$128,SONDERZAHLUNGEN!$B$9:$B$128,C1067,SONDERZAHLUNGEN!$C$9:$C$128,A1067,SONDERZAHLUNGEN!$H$9:$H$128,"OK",SONDERZAHLUNGEN!$F$9:$F$128,"Ja")-G1067))</x:f>
      </x:c>
    </x:row>
    <x:row r="1068" ht="19" customHeight="1">
      <x:c r="A1068" s="90" t="n">
        <x:f>MONATSBUDGET!$A$60</x:f>
        <x:v>47818</x:v>
      </x:c>
      <x:c r="B1068" t="n">
        <x:f>9</x:f>
        <x:v>9</x:v>
      </x:c>
      <x:c r="C1068" t="str">
        <x:f>IF($N$17="","",$N$17)</x:f>
      </x:c>
      <x:c r="D1068" s="88" t="str">
        <x:f>IF(C1068="","",I1048)</x:f>
      </x:c>
      <x:c r="E1068" s="88" t="str">
        <x:f>IF(C1068="","",ROUND(D1068*$P$17/12,2))</x:f>
      </x:c>
      <x:c r="F1068" s="88" t="str">
        <x:f>IF(C1068="","",MIN(D1068+E1068,$Q$17))</x:f>
      </x:c>
      <x:c r="G1068" s="88" t="str">
        <x:f>IF(C1068="","",MIN(MAX(0,D1068+E1068-F1068),SUMIFS(SONDERZAHLUNGEN!$E$9:$E$128,SONDERZAHLUNGEN!$B$9:$B$128,C1068,SONDERZAHLUNGEN!$C$9:$C$128,A1068,SONDERZAHLUNGEN!$H$9:$H$128,"OK",SONDERZAHLUNGEN!$F$9:$F$128,"Ja")))</x:f>
      </x:c>
      <x:c r="H1068" s="88" t="str">
        <x:f>IF(C1068="","",MIN(MAX(0,D1068+E1068-F1068-G1068),MAX(0,IF(MONATSBUDGET!$C$60="",0,MONATSBUDGET!$C$60)-SUM(F1060:F1079)-SUM(H1060:H1067))))</x:f>
      </x:c>
      <x:c r="I1068" s="88" t="str">
        <x:f>IF(C1068="","",MAX(0,ROUND(D1068+E1068-F1068-G1068-H1068,2)))</x:f>
      </x:c>
      <x:c r="J1068" s="88" t="str">
        <x:f>IF(C1068="","",F1068+G1068+H1068)</x:f>
      </x:c>
      <x:c r="K1068" s="88" t="str">
        <x:f>IF(C1068="","",MAX(0,SUMIFS(SONDERZAHLUNGEN!$E$9:$E$128,SONDERZAHLUNGEN!$B$9:$B$128,C1068,SONDERZAHLUNGEN!$C$9:$C$128,A1068,SONDERZAHLUNGEN!$H$9:$H$128,"OK",SONDERZAHLUNGEN!$F$9:$F$128,"Ja")-G1068))</x:f>
      </x:c>
    </x:row>
    <x:row r="1069" ht="19" customHeight="1">
      <x:c r="A1069" s="90" t="n">
        <x:f>MONATSBUDGET!$A$60</x:f>
        <x:v>47818</x:v>
      </x:c>
      <x:c r="B1069" t="n">
        <x:f>10</x:f>
        <x:v>10</x:v>
      </x:c>
      <x:c r="C1069" t="str">
        <x:f>IF($N$18="","",$N$18)</x:f>
      </x:c>
      <x:c r="D1069" s="88" t="str">
        <x:f>IF(C1069="","",I1049)</x:f>
      </x:c>
      <x:c r="E1069" s="88" t="str">
        <x:f>IF(C1069="","",ROUND(D1069*$P$18/12,2))</x:f>
      </x:c>
      <x:c r="F1069" s="88" t="str">
        <x:f>IF(C1069="","",MIN(D1069+E1069,$Q$18))</x:f>
      </x:c>
      <x:c r="G1069" s="88" t="str">
        <x:f>IF(C1069="","",MIN(MAX(0,D1069+E1069-F1069),SUMIFS(SONDERZAHLUNGEN!$E$9:$E$128,SONDERZAHLUNGEN!$B$9:$B$128,C1069,SONDERZAHLUNGEN!$C$9:$C$128,A1069,SONDERZAHLUNGEN!$H$9:$H$128,"OK",SONDERZAHLUNGEN!$F$9:$F$128,"Ja")))</x:f>
      </x:c>
      <x:c r="H1069" s="88" t="str">
        <x:f>IF(C1069="","",MIN(MAX(0,D1069+E1069-F1069-G1069),MAX(0,IF(MONATSBUDGET!$C$60="",0,MONATSBUDGET!$C$60)-SUM(F1060:F1079)-SUM(H1060:H1068))))</x:f>
      </x:c>
      <x:c r="I1069" s="88" t="str">
        <x:f>IF(C1069="","",MAX(0,ROUND(D1069+E1069-F1069-G1069-H1069,2)))</x:f>
      </x:c>
      <x:c r="J1069" s="88" t="str">
        <x:f>IF(C1069="","",F1069+G1069+H1069)</x:f>
      </x:c>
      <x:c r="K1069" s="88" t="str">
        <x:f>IF(C1069="","",MAX(0,SUMIFS(SONDERZAHLUNGEN!$E$9:$E$128,SONDERZAHLUNGEN!$B$9:$B$128,C1069,SONDERZAHLUNGEN!$C$9:$C$128,A1069,SONDERZAHLUNGEN!$H$9:$H$128,"OK",SONDERZAHLUNGEN!$F$9:$F$128,"Ja")-G1069))</x:f>
      </x:c>
    </x:row>
    <x:row r="1070" ht="19" customHeight="1">
      <x:c r="A1070" s="90" t="n">
        <x:f>MONATSBUDGET!$A$60</x:f>
        <x:v>47818</x:v>
      </x:c>
      <x:c r="B1070" t="n">
        <x:f>11</x:f>
        <x:v>11</x:v>
      </x:c>
      <x:c r="C1070" t="str">
        <x:f>IF($N$19="","",$N$19)</x:f>
      </x:c>
      <x:c r="D1070" s="88" t="str">
        <x:f>IF(C1070="","",I1050)</x:f>
      </x:c>
      <x:c r="E1070" s="88" t="str">
        <x:f>IF(C1070="","",ROUND(D1070*$P$19/12,2))</x:f>
      </x:c>
      <x:c r="F1070" s="88" t="str">
        <x:f>IF(C1070="","",MIN(D1070+E1070,$Q$19))</x:f>
      </x:c>
      <x:c r="G1070" s="88" t="str">
        <x:f>IF(C1070="","",MIN(MAX(0,D1070+E1070-F1070),SUMIFS(SONDERZAHLUNGEN!$E$9:$E$128,SONDERZAHLUNGEN!$B$9:$B$128,C1070,SONDERZAHLUNGEN!$C$9:$C$128,A1070,SONDERZAHLUNGEN!$H$9:$H$128,"OK",SONDERZAHLUNGEN!$F$9:$F$128,"Ja")))</x:f>
      </x:c>
      <x:c r="H1070" s="88" t="str">
        <x:f>IF(C1070="","",MIN(MAX(0,D1070+E1070-F1070-G1070),MAX(0,IF(MONATSBUDGET!$C$60="",0,MONATSBUDGET!$C$60)-SUM(F1060:F1079)-SUM(H1060:H1069))))</x:f>
      </x:c>
      <x:c r="I1070" s="88" t="str">
        <x:f>IF(C1070="","",MAX(0,ROUND(D1070+E1070-F1070-G1070-H1070,2)))</x:f>
      </x:c>
      <x:c r="J1070" s="88" t="str">
        <x:f>IF(C1070="","",F1070+G1070+H1070)</x:f>
      </x:c>
      <x:c r="K1070" s="88" t="str">
        <x:f>IF(C1070="","",MAX(0,SUMIFS(SONDERZAHLUNGEN!$E$9:$E$128,SONDERZAHLUNGEN!$B$9:$B$128,C1070,SONDERZAHLUNGEN!$C$9:$C$128,A1070,SONDERZAHLUNGEN!$H$9:$H$128,"OK",SONDERZAHLUNGEN!$F$9:$F$128,"Ja")-G1070))</x:f>
      </x:c>
    </x:row>
    <x:row r="1071" ht="19" customHeight="1">
      <x:c r="A1071" s="90" t="n">
        <x:f>MONATSBUDGET!$A$60</x:f>
        <x:v>47818</x:v>
      </x:c>
      <x:c r="B1071" t="n">
        <x:f>12</x:f>
        <x:v>12</x:v>
      </x:c>
      <x:c r="C1071" t="str">
        <x:f>IF($N$20="","",$N$20)</x:f>
      </x:c>
      <x:c r="D1071" s="88" t="str">
        <x:f>IF(C1071="","",I1051)</x:f>
      </x:c>
      <x:c r="E1071" s="88" t="str">
        <x:f>IF(C1071="","",ROUND(D1071*$P$20/12,2))</x:f>
      </x:c>
      <x:c r="F1071" s="88" t="str">
        <x:f>IF(C1071="","",MIN(D1071+E1071,$Q$20))</x:f>
      </x:c>
      <x:c r="G1071" s="88" t="str">
        <x:f>IF(C1071="","",MIN(MAX(0,D1071+E1071-F1071),SUMIFS(SONDERZAHLUNGEN!$E$9:$E$128,SONDERZAHLUNGEN!$B$9:$B$128,C1071,SONDERZAHLUNGEN!$C$9:$C$128,A1071,SONDERZAHLUNGEN!$H$9:$H$128,"OK",SONDERZAHLUNGEN!$F$9:$F$128,"Ja")))</x:f>
      </x:c>
      <x:c r="H1071" s="88" t="str">
        <x:f>IF(C1071="","",MIN(MAX(0,D1071+E1071-F1071-G1071),MAX(0,IF(MONATSBUDGET!$C$60="",0,MONATSBUDGET!$C$60)-SUM(F1060:F1079)-SUM(H1060:H1070))))</x:f>
      </x:c>
      <x:c r="I1071" s="88" t="str">
        <x:f>IF(C1071="","",MAX(0,ROUND(D1071+E1071-F1071-G1071-H1071,2)))</x:f>
      </x:c>
      <x:c r="J1071" s="88" t="str">
        <x:f>IF(C1071="","",F1071+G1071+H1071)</x:f>
      </x:c>
      <x:c r="K1071" s="88" t="str">
        <x:f>IF(C1071="","",MAX(0,SUMIFS(SONDERZAHLUNGEN!$E$9:$E$128,SONDERZAHLUNGEN!$B$9:$B$128,C1071,SONDERZAHLUNGEN!$C$9:$C$128,A1071,SONDERZAHLUNGEN!$H$9:$H$128,"OK",SONDERZAHLUNGEN!$F$9:$F$128,"Ja")-G1071))</x:f>
      </x:c>
    </x:row>
    <x:row r="1072" ht="19" customHeight="1">
      <x:c r="A1072" s="90" t="n">
        <x:f>MONATSBUDGET!$A$60</x:f>
        <x:v>47818</x:v>
      </x:c>
      <x:c r="B1072" t="n">
        <x:f>13</x:f>
        <x:v>13</x:v>
      </x:c>
      <x:c r="C1072" t="str">
        <x:f>IF($N$21="","",$N$21)</x:f>
      </x:c>
      <x:c r="D1072" s="88" t="str">
        <x:f>IF(C1072="","",I1052)</x:f>
      </x:c>
      <x:c r="E1072" s="88" t="str">
        <x:f>IF(C1072="","",ROUND(D1072*$P$21/12,2))</x:f>
      </x:c>
      <x:c r="F1072" s="88" t="str">
        <x:f>IF(C1072="","",MIN(D1072+E1072,$Q$21))</x:f>
      </x:c>
      <x:c r="G1072" s="88" t="str">
        <x:f>IF(C1072="","",MIN(MAX(0,D1072+E1072-F1072),SUMIFS(SONDERZAHLUNGEN!$E$9:$E$128,SONDERZAHLUNGEN!$B$9:$B$128,C1072,SONDERZAHLUNGEN!$C$9:$C$128,A1072,SONDERZAHLUNGEN!$H$9:$H$128,"OK",SONDERZAHLUNGEN!$F$9:$F$128,"Ja")))</x:f>
      </x:c>
      <x:c r="H1072" s="88" t="str">
        <x:f>IF(C1072="","",MIN(MAX(0,D1072+E1072-F1072-G1072),MAX(0,IF(MONATSBUDGET!$C$60="",0,MONATSBUDGET!$C$60)-SUM(F1060:F1079)-SUM(H1060:H1071))))</x:f>
      </x:c>
      <x:c r="I1072" s="88" t="str">
        <x:f>IF(C1072="","",MAX(0,ROUND(D1072+E1072-F1072-G1072-H1072,2)))</x:f>
      </x:c>
      <x:c r="J1072" s="88" t="str">
        <x:f>IF(C1072="","",F1072+G1072+H1072)</x:f>
      </x:c>
      <x:c r="K1072" s="88" t="str">
        <x:f>IF(C1072="","",MAX(0,SUMIFS(SONDERZAHLUNGEN!$E$9:$E$128,SONDERZAHLUNGEN!$B$9:$B$128,C1072,SONDERZAHLUNGEN!$C$9:$C$128,A1072,SONDERZAHLUNGEN!$H$9:$H$128,"OK",SONDERZAHLUNGEN!$F$9:$F$128,"Ja")-G1072))</x:f>
      </x:c>
    </x:row>
    <x:row r="1073" ht="19" customHeight="1">
      <x:c r="A1073" s="90" t="n">
        <x:f>MONATSBUDGET!$A$60</x:f>
        <x:v>47818</x:v>
      </x:c>
      <x:c r="B1073" t="n">
        <x:f>14</x:f>
        <x:v>14</x:v>
      </x:c>
      <x:c r="C1073" t="str">
        <x:f>IF($N$22="","",$N$22)</x:f>
      </x:c>
      <x:c r="D1073" s="88" t="str">
        <x:f>IF(C1073="","",I1053)</x:f>
      </x:c>
      <x:c r="E1073" s="88" t="str">
        <x:f>IF(C1073="","",ROUND(D1073*$P$22/12,2))</x:f>
      </x:c>
      <x:c r="F1073" s="88" t="str">
        <x:f>IF(C1073="","",MIN(D1073+E1073,$Q$22))</x:f>
      </x:c>
      <x:c r="G1073" s="88" t="str">
        <x:f>IF(C1073="","",MIN(MAX(0,D1073+E1073-F1073),SUMIFS(SONDERZAHLUNGEN!$E$9:$E$128,SONDERZAHLUNGEN!$B$9:$B$128,C1073,SONDERZAHLUNGEN!$C$9:$C$128,A1073,SONDERZAHLUNGEN!$H$9:$H$128,"OK",SONDERZAHLUNGEN!$F$9:$F$128,"Ja")))</x:f>
      </x:c>
      <x:c r="H1073" s="88" t="str">
        <x:f>IF(C1073="","",MIN(MAX(0,D1073+E1073-F1073-G1073),MAX(0,IF(MONATSBUDGET!$C$60="",0,MONATSBUDGET!$C$60)-SUM(F1060:F1079)-SUM(H1060:H1072))))</x:f>
      </x:c>
      <x:c r="I1073" s="88" t="str">
        <x:f>IF(C1073="","",MAX(0,ROUND(D1073+E1073-F1073-G1073-H1073,2)))</x:f>
      </x:c>
      <x:c r="J1073" s="88" t="str">
        <x:f>IF(C1073="","",F1073+G1073+H1073)</x:f>
      </x:c>
      <x:c r="K1073" s="88" t="str">
        <x:f>IF(C1073="","",MAX(0,SUMIFS(SONDERZAHLUNGEN!$E$9:$E$128,SONDERZAHLUNGEN!$B$9:$B$128,C1073,SONDERZAHLUNGEN!$C$9:$C$128,A1073,SONDERZAHLUNGEN!$H$9:$H$128,"OK",SONDERZAHLUNGEN!$F$9:$F$128,"Ja")-G1073))</x:f>
      </x:c>
    </x:row>
    <x:row r="1074" ht="19" customHeight="1">
      <x:c r="A1074" s="90" t="n">
        <x:f>MONATSBUDGET!$A$60</x:f>
        <x:v>47818</x:v>
      </x:c>
      <x:c r="B1074" t="n">
        <x:f>15</x:f>
        <x:v>15</x:v>
      </x:c>
      <x:c r="C1074" t="str">
        <x:f>IF($N$23="","",$N$23)</x:f>
      </x:c>
      <x:c r="D1074" s="88" t="str">
        <x:f>IF(C1074="","",I1054)</x:f>
      </x:c>
      <x:c r="E1074" s="88" t="str">
        <x:f>IF(C1074="","",ROUND(D1074*$P$23/12,2))</x:f>
      </x:c>
      <x:c r="F1074" s="88" t="str">
        <x:f>IF(C1074="","",MIN(D1074+E1074,$Q$23))</x:f>
      </x:c>
      <x:c r="G1074" s="88" t="str">
        <x:f>IF(C1074="","",MIN(MAX(0,D1074+E1074-F1074),SUMIFS(SONDERZAHLUNGEN!$E$9:$E$128,SONDERZAHLUNGEN!$B$9:$B$128,C1074,SONDERZAHLUNGEN!$C$9:$C$128,A1074,SONDERZAHLUNGEN!$H$9:$H$128,"OK",SONDERZAHLUNGEN!$F$9:$F$128,"Ja")))</x:f>
      </x:c>
      <x:c r="H1074" s="88" t="str">
        <x:f>IF(C1074="","",MIN(MAX(0,D1074+E1074-F1074-G1074),MAX(0,IF(MONATSBUDGET!$C$60="",0,MONATSBUDGET!$C$60)-SUM(F1060:F1079)-SUM(H1060:H1073))))</x:f>
      </x:c>
      <x:c r="I1074" s="88" t="str">
        <x:f>IF(C1074="","",MAX(0,ROUND(D1074+E1074-F1074-G1074-H1074,2)))</x:f>
      </x:c>
      <x:c r="J1074" s="88" t="str">
        <x:f>IF(C1074="","",F1074+G1074+H1074)</x:f>
      </x:c>
      <x:c r="K1074" s="88" t="str">
        <x:f>IF(C1074="","",MAX(0,SUMIFS(SONDERZAHLUNGEN!$E$9:$E$128,SONDERZAHLUNGEN!$B$9:$B$128,C1074,SONDERZAHLUNGEN!$C$9:$C$128,A1074,SONDERZAHLUNGEN!$H$9:$H$128,"OK",SONDERZAHLUNGEN!$F$9:$F$128,"Ja")-G1074))</x:f>
      </x:c>
    </x:row>
    <x:row r="1075" ht="19" customHeight="1">
      <x:c r="A1075" s="90" t="n">
        <x:f>MONATSBUDGET!$A$60</x:f>
        <x:v>47818</x:v>
      </x:c>
      <x:c r="B1075" t="n">
        <x:f>16</x:f>
        <x:v>16</x:v>
      </x:c>
      <x:c r="C1075" t="str">
        <x:f>IF($N$24="","",$N$24)</x:f>
      </x:c>
      <x:c r="D1075" s="88" t="str">
        <x:f>IF(C1075="","",I1055)</x:f>
      </x:c>
      <x:c r="E1075" s="88" t="str">
        <x:f>IF(C1075="","",ROUND(D1075*$P$24/12,2))</x:f>
      </x:c>
      <x:c r="F1075" s="88" t="str">
        <x:f>IF(C1075="","",MIN(D1075+E1075,$Q$24))</x:f>
      </x:c>
      <x:c r="G1075" s="88" t="str">
        <x:f>IF(C1075="","",MIN(MAX(0,D1075+E1075-F1075),SUMIFS(SONDERZAHLUNGEN!$E$9:$E$128,SONDERZAHLUNGEN!$B$9:$B$128,C1075,SONDERZAHLUNGEN!$C$9:$C$128,A1075,SONDERZAHLUNGEN!$H$9:$H$128,"OK",SONDERZAHLUNGEN!$F$9:$F$128,"Ja")))</x:f>
      </x:c>
      <x:c r="H1075" s="88" t="str">
        <x:f>IF(C1075="","",MIN(MAX(0,D1075+E1075-F1075-G1075),MAX(0,IF(MONATSBUDGET!$C$60="",0,MONATSBUDGET!$C$60)-SUM(F1060:F1079)-SUM(H1060:H1074))))</x:f>
      </x:c>
      <x:c r="I1075" s="88" t="str">
        <x:f>IF(C1075="","",MAX(0,ROUND(D1075+E1075-F1075-G1075-H1075,2)))</x:f>
      </x:c>
      <x:c r="J1075" s="88" t="str">
        <x:f>IF(C1075="","",F1075+G1075+H1075)</x:f>
      </x:c>
      <x:c r="K1075" s="88" t="str">
        <x:f>IF(C1075="","",MAX(0,SUMIFS(SONDERZAHLUNGEN!$E$9:$E$128,SONDERZAHLUNGEN!$B$9:$B$128,C1075,SONDERZAHLUNGEN!$C$9:$C$128,A1075,SONDERZAHLUNGEN!$H$9:$H$128,"OK",SONDERZAHLUNGEN!$F$9:$F$128,"Ja")-G1075))</x:f>
      </x:c>
    </x:row>
    <x:row r="1076" ht="19" customHeight="1">
      <x:c r="A1076" s="90" t="n">
        <x:f>MONATSBUDGET!$A$60</x:f>
        <x:v>47818</x:v>
      </x:c>
      <x:c r="B1076" t="n">
        <x:f>17</x:f>
        <x:v>17</x:v>
      </x:c>
      <x:c r="C1076" t="str">
        <x:f>IF($N$25="","",$N$25)</x:f>
      </x:c>
      <x:c r="D1076" s="88" t="str">
        <x:f>IF(C1076="","",I1056)</x:f>
      </x:c>
      <x:c r="E1076" s="88" t="str">
        <x:f>IF(C1076="","",ROUND(D1076*$P$25/12,2))</x:f>
      </x:c>
      <x:c r="F1076" s="88" t="str">
        <x:f>IF(C1076="","",MIN(D1076+E1076,$Q$25))</x:f>
      </x:c>
      <x:c r="G1076" s="88" t="str">
        <x:f>IF(C1076="","",MIN(MAX(0,D1076+E1076-F1076),SUMIFS(SONDERZAHLUNGEN!$E$9:$E$128,SONDERZAHLUNGEN!$B$9:$B$128,C1076,SONDERZAHLUNGEN!$C$9:$C$128,A1076,SONDERZAHLUNGEN!$H$9:$H$128,"OK",SONDERZAHLUNGEN!$F$9:$F$128,"Ja")))</x:f>
      </x:c>
      <x:c r="H1076" s="88" t="str">
        <x:f>IF(C1076="","",MIN(MAX(0,D1076+E1076-F1076-G1076),MAX(0,IF(MONATSBUDGET!$C$60="",0,MONATSBUDGET!$C$60)-SUM(F1060:F1079)-SUM(H1060:H1075))))</x:f>
      </x:c>
      <x:c r="I1076" s="88" t="str">
        <x:f>IF(C1076="","",MAX(0,ROUND(D1076+E1076-F1076-G1076-H1076,2)))</x:f>
      </x:c>
      <x:c r="J1076" s="88" t="str">
        <x:f>IF(C1076="","",F1076+G1076+H1076)</x:f>
      </x:c>
      <x:c r="K1076" s="88" t="str">
        <x:f>IF(C1076="","",MAX(0,SUMIFS(SONDERZAHLUNGEN!$E$9:$E$128,SONDERZAHLUNGEN!$B$9:$B$128,C1076,SONDERZAHLUNGEN!$C$9:$C$128,A1076,SONDERZAHLUNGEN!$H$9:$H$128,"OK",SONDERZAHLUNGEN!$F$9:$F$128,"Ja")-G1076))</x:f>
      </x:c>
    </x:row>
    <x:row r="1077" ht="19" customHeight="1">
      <x:c r="A1077" s="90" t="n">
        <x:f>MONATSBUDGET!$A$60</x:f>
        <x:v>47818</x:v>
      </x:c>
      <x:c r="B1077" t="n">
        <x:f>18</x:f>
        <x:v>18</x:v>
      </x:c>
      <x:c r="C1077" t="str">
        <x:f>IF($N$26="","",$N$26)</x:f>
      </x:c>
      <x:c r="D1077" s="88" t="str">
        <x:f>IF(C1077="","",I1057)</x:f>
      </x:c>
      <x:c r="E1077" s="88" t="str">
        <x:f>IF(C1077="","",ROUND(D1077*$P$26/12,2))</x:f>
      </x:c>
      <x:c r="F1077" s="88" t="str">
        <x:f>IF(C1077="","",MIN(D1077+E1077,$Q$26))</x:f>
      </x:c>
      <x:c r="G1077" s="88" t="str">
        <x:f>IF(C1077="","",MIN(MAX(0,D1077+E1077-F1077),SUMIFS(SONDERZAHLUNGEN!$E$9:$E$128,SONDERZAHLUNGEN!$B$9:$B$128,C1077,SONDERZAHLUNGEN!$C$9:$C$128,A1077,SONDERZAHLUNGEN!$H$9:$H$128,"OK",SONDERZAHLUNGEN!$F$9:$F$128,"Ja")))</x:f>
      </x:c>
      <x:c r="H1077" s="88" t="str">
        <x:f>IF(C1077="","",MIN(MAX(0,D1077+E1077-F1077-G1077),MAX(0,IF(MONATSBUDGET!$C$60="",0,MONATSBUDGET!$C$60)-SUM(F1060:F1079)-SUM(H1060:H1076))))</x:f>
      </x:c>
      <x:c r="I1077" s="88" t="str">
        <x:f>IF(C1077="","",MAX(0,ROUND(D1077+E1077-F1077-G1077-H1077,2)))</x:f>
      </x:c>
      <x:c r="J1077" s="88" t="str">
        <x:f>IF(C1077="","",F1077+G1077+H1077)</x:f>
      </x:c>
      <x:c r="K1077" s="88" t="str">
        <x:f>IF(C1077="","",MAX(0,SUMIFS(SONDERZAHLUNGEN!$E$9:$E$128,SONDERZAHLUNGEN!$B$9:$B$128,C1077,SONDERZAHLUNGEN!$C$9:$C$128,A1077,SONDERZAHLUNGEN!$H$9:$H$128,"OK",SONDERZAHLUNGEN!$F$9:$F$128,"Ja")-G1077))</x:f>
      </x:c>
    </x:row>
    <x:row r="1078" ht="19" customHeight="1">
      <x:c r="A1078" s="90" t="n">
        <x:f>MONATSBUDGET!$A$60</x:f>
        <x:v>47818</x:v>
      </x:c>
      <x:c r="B1078" t="n">
        <x:f>19</x:f>
        <x:v>19</x:v>
      </x:c>
      <x:c r="C1078" t="str">
        <x:f>IF($N$27="","",$N$27)</x:f>
      </x:c>
      <x:c r="D1078" s="88" t="str">
        <x:f>IF(C1078="","",I1058)</x:f>
      </x:c>
      <x:c r="E1078" s="88" t="str">
        <x:f>IF(C1078="","",ROUND(D1078*$P$27/12,2))</x:f>
      </x:c>
      <x:c r="F1078" s="88" t="str">
        <x:f>IF(C1078="","",MIN(D1078+E1078,$Q$27))</x:f>
      </x:c>
      <x:c r="G1078" s="88" t="str">
        <x:f>IF(C1078="","",MIN(MAX(0,D1078+E1078-F1078),SUMIFS(SONDERZAHLUNGEN!$E$9:$E$128,SONDERZAHLUNGEN!$B$9:$B$128,C1078,SONDERZAHLUNGEN!$C$9:$C$128,A1078,SONDERZAHLUNGEN!$H$9:$H$128,"OK",SONDERZAHLUNGEN!$F$9:$F$128,"Ja")))</x:f>
      </x:c>
      <x:c r="H1078" s="88" t="str">
        <x:f>IF(C1078="","",MIN(MAX(0,D1078+E1078-F1078-G1078),MAX(0,IF(MONATSBUDGET!$C$60="",0,MONATSBUDGET!$C$60)-SUM(F1060:F1079)-SUM(H1060:H1077))))</x:f>
      </x:c>
      <x:c r="I1078" s="88" t="str">
        <x:f>IF(C1078="","",MAX(0,ROUND(D1078+E1078-F1078-G1078-H1078,2)))</x:f>
      </x:c>
      <x:c r="J1078" s="88" t="str">
        <x:f>IF(C1078="","",F1078+G1078+H1078)</x:f>
      </x:c>
      <x:c r="K1078" s="88" t="str">
        <x:f>IF(C1078="","",MAX(0,SUMIFS(SONDERZAHLUNGEN!$E$9:$E$128,SONDERZAHLUNGEN!$B$9:$B$128,C1078,SONDERZAHLUNGEN!$C$9:$C$128,A1078,SONDERZAHLUNGEN!$H$9:$H$128,"OK",SONDERZAHLUNGEN!$F$9:$F$128,"Ja")-G1078))</x:f>
      </x:c>
    </x:row>
    <x:row r="1079" ht="19" customHeight="1">
      <x:c r="A1079" s="90" t="n">
        <x:f>MONATSBUDGET!$A$60</x:f>
        <x:v>47818</x:v>
      </x:c>
      <x:c r="B1079" t="n">
        <x:f>20</x:f>
        <x:v>20</x:v>
      </x:c>
      <x:c r="C1079" t="str">
        <x:f>IF($N$28="","",$N$28)</x:f>
      </x:c>
      <x:c r="D1079" s="88" t="str">
        <x:f>IF(C1079="","",I1059)</x:f>
      </x:c>
      <x:c r="E1079" s="88" t="str">
        <x:f>IF(C1079="","",ROUND(D1079*$P$28/12,2))</x:f>
      </x:c>
      <x:c r="F1079" s="88" t="str">
        <x:f>IF(C1079="","",MIN(D1079+E1079,$Q$28))</x:f>
      </x:c>
      <x:c r="G1079" s="88" t="str">
        <x:f>IF(C1079="","",MIN(MAX(0,D1079+E1079-F1079),SUMIFS(SONDERZAHLUNGEN!$E$9:$E$128,SONDERZAHLUNGEN!$B$9:$B$128,C1079,SONDERZAHLUNGEN!$C$9:$C$128,A1079,SONDERZAHLUNGEN!$H$9:$H$128,"OK",SONDERZAHLUNGEN!$F$9:$F$128,"Ja")))</x:f>
      </x:c>
      <x:c r="H1079" s="88" t="str">
        <x:f>IF(C1079="","",MIN(MAX(0,D1079+E1079-F1079-G1079),MAX(0,IF(MONATSBUDGET!$C$60="",0,MONATSBUDGET!$C$60)-SUM(F1060:F1079)-SUM(H1060:H1078))))</x:f>
      </x:c>
      <x:c r="I1079" s="88" t="str">
        <x:f>IF(C1079="","",MAX(0,ROUND(D1079+E1079-F1079-G1079-H1079,2)))</x:f>
      </x:c>
      <x:c r="J1079" s="88" t="str">
        <x:f>IF(C1079="","",F1079+G1079+H1079)</x:f>
      </x:c>
      <x:c r="K1079" s="88" t="str">
        <x:f>IF(C1079="","",MAX(0,SUMIFS(SONDERZAHLUNGEN!$E$9:$E$128,SONDERZAHLUNGEN!$B$9:$B$128,C1079,SONDERZAHLUNGEN!$C$9:$C$128,A1079,SONDERZAHLUNGEN!$H$9:$H$128,"OK",SONDERZAHLUNGEN!$F$9:$F$128,"Ja")-G1079))</x:f>
      </x:c>
    </x:row>
    <x:row r="1080" ht="19" customHeight="1">
      <x:c r="A1080" s="90" t="n">
        <x:f>MONATSBUDGET!$A$61</x:f>
        <x:v>47849</x:v>
      </x:c>
      <x:c r="B1080" t="n">
        <x:f>1</x:f>
        <x:v>1</x:v>
      </x:c>
      <x:c r="C1080" t="str">
        <x:f>IF($N$9="","",$N$9)</x:f>
      </x:c>
      <x:c r="D1080" s="88" t="str">
        <x:f>IF(C1080="","",I1060)</x:f>
      </x:c>
      <x:c r="E1080" s="88" t="str">
        <x:f>IF(C1080="","",ROUND(D1080*$P$9/12,2))</x:f>
      </x:c>
      <x:c r="F1080" s="88" t="str">
        <x:f>IF(C1080="","",MIN(D1080+E1080,$Q$9))</x:f>
      </x:c>
      <x:c r="G1080" s="88" t="str">
        <x:f>IF(C1080="","",MIN(MAX(0,D1080+E1080-F1080),SUMIFS(SONDERZAHLUNGEN!$E$9:$E$128,SONDERZAHLUNGEN!$B$9:$B$128,C1080,SONDERZAHLUNGEN!$C$9:$C$128,A1080,SONDERZAHLUNGEN!$H$9:$H$128,"OK",SONDERZAHLUNGEN!$F$9:$F$128,"Ja")))</x:f>
      </x:c>
      <x:c r="H1080" s="88" t="str">
        <x:f>IF(C1080="","",MIN(MAX(0,D1080+E1080-F1080-G1080),MAX(0,IF(MONATSBUDGET!$C$61="",0,MONATSBUDGET!$C$61)-SUM(F1080:F1099)-0)))</x:f>
      </x:c>
      <x:c r="I1080" s="88" t="str">
        <x:f>IF(C1080="","",MAX(0,ROUND(D1080+E1080-F1080-G1080-H1080,2)))</x:f>
      </x:c>
      <x:c r="J1080" s="88" t="str">
        <x:f>IF(C1080="","",F1080+G1080+H1080)</x:f>
      </x:c>
      <x:c r="K1080" s="88" t="str">
        <x:f>IF(C1080="","",MAX(0,SUMIFS(SONDERZAHLUNGEN!$E$9:$E$128,SONDERZAHLUNGEN!$B$9:$B$128,C1080,SONDERZAHLUNGEN!$C$9:$C$128,A1080,SONDERZAHLUNGEN!$H$9:$H$128,"OK",SONDERZAHLUNGEN!$F$9:$F$128,"Ja")-G1080))</x:f>
      </x:c>
    </x:row>
    <x:row r="1081" ht="19" customHeight="1">
      <x:c r="A1081" s="90" t="n">
        <x:f>MONATSBUDGET!$A$61</x:f>
        <x:v>47849</x:v>
      </x:c>
      <x:c r="B1081" t="n">
        <x:f>2</x:f>
        <x:v>2</x:v>
      </x:c>
      <x:c r="C1081" t="str">
        <x:f>IF($N$10="","",$N$10)</x:f>
      </x:c>
      <x:c r="D1081" s="88" t="str">
        <x:f>IF(C1081="","",I1061)</x:f>
      </x:c>
      <x:c r="E1081" s="88" t="str">
        <x:f>IF(C1081="","",ROUND(D1081*$P$10/12,2))</x:f>
      </x:c>
      <x:c r="F1081" s="88" t="str">
        <x:f>IF(C1081="","",MIN(D1081+E1081,$Q$10))</x:f>
      </x:c>
      <x:c r="G1081" s="88" t="str">
        <x:f>IF(C1081="","",MIN(MAX(0,D1081+E1081-F1081),SUMIFS(SONDERZAHLUNGEN!$E$9:$E$128,SONDERZAHLUNGEN!$B$9:$B$128,C1081,SONDERZAHLUNGEN!$C$9:$C$128,A1081,SONDERZAHLUNGEN!$H$9:$H$128,"OK",SONDERZAHLUNGEN!$F$9:$F$128,"Ja")))</x:f>
      </x:c>
      <x:c r="H1081" s="88" t="str">
        <x:f>IF(C1081="","",MIN(MAX(0,D1081+E1081-F1081-G1081),MAX(0,IF(MONATSBUDGET!$C$61="",0,MONATSBUDGET!$C$61)-SUM(F1080:F1099)-SUM(H1080:H1080))))</x:f>
      </x:c>
      <x:c r="I1081" s="88" t="str">
        <x:f>IF(C1081="","",MAX(0,ROUND(D1081+E1081-F1081-G1081-H1081,2)))</x:f>
      </x:c>
      <x:c r="J1081" s="88" t="str">
        <x:f>IF(C1081="","",F1081+G1081+H1081)</x:f>
      </x:c>
      <x:c r="K1081" s="88" t="str">
        <x:f>IF(C1081="","",MAX(0,SUMIFS(SONDERZAHLUNGEN!$E$9:$E$128,SONDERZAHLUNGEN!$B$9:$B$128,C1081,SONDERZAHLUNGEN!$C$9:$C$128,A1081,SONDERZAHLUNGEN!$H$9:$H$128,"OK",SONDERZAHLUNGEN!$F$9:$F$128,"Ja")-G1081))</x:f>
      </x:c>
    </x:row>
    <x:row r="1082" ht="19" customHeight="1">
      <x:c r="A1082" s="90" t="n">
        <x:f>MONATSBUDGET!$A$61</x:f>
        <x:v>47849</x:v>
      </x:c>
      <x:c r="B1082" t="n">
        <x:f>3</x:f>
        <x:v>3</x:v>
      </x:c>
      <x:c r="C1082" t="str">
        <x:f>IF($N$11="","",$N$11)</x:f>
      </x:c>
      <x:c r="D1082" s="88" t="str">
        <x:f>IF(C1082="","",I1062)</x:f>
      </x:c>
      <x:c r="E1082" s="88" t="str">
        <x:f>IF(C1082="","",ROUND(D1082*$P$11/12,2))</x:f>
      </x:c>
      <x:c r="F1082" s="88" t="str">
        <x:f>IF(C1082="","",MIN(D1082+E1082,$Q$11))</x:f>
      </x:c>
      <x:c r="G1082" s="88" t="str">
        <x:f>IF(C1082="","",MIN(MAX(0,D1082+E1082-F1082),SUMIFS(SONDERZAHLUNGEN!$E$9:$E$128,SONDERZAHLUNGEN!$B$9:$B$128,C1082,SONDERZAHLUNGEN!$C$9:$C$128,A1082,SONDERZAHLUNGEN!$H$9:$H$128,"OK",SONDERZAHLUNGEN!$F$9:$F$128,"Ja")))</x:f>
      </x:c>
      <x:c r="H1082" s="88" t="str">
        <x:f>IF(C1082="","",MIN(MAX(0,D1082+E1082-F1082-G1082),MAX(0,IF(MONATSBUDGET!$C$61="",0,MONATSBUDGET!$C$61)-SUM(F1080:F1099)-SUM(H1080:H1081))))</x:f>
      </x:c>
      <x:c r="I1082" s="88" t="str">
        <x:f>IF(C1082="","",MAX(0,ROUND(D1082+E1082-F1082-G1082-H1082,2)))</x:f>
      </x:c>
      <x:c r="J1082" s="88" t="str">
        <x:f>IF(C1082="","",F1082+G1082+H1082)</x:f>
      </x:c>
      <x:c r="K1082" s="88" t="str">
        <x:f>IF(C1082="","",MAX(0,SUMIFS(SONDERZAHLUNGEN!$E$9:$E$128,SONDERZAHLUNGEN!$B$9:$B$128,C1082,SONDERZAHLUNGEN!$C$9:$C$128,A1082,SONDERZAHLUNGEN!$H$9:$H$128,"OK",SONDERZAHLUNGEN!$F$9:$F$128,"Ja")-G1082))</x:f>
      </x:c>
    </x:row>
    <x:row r="1083" ht="19" customHeight="1">
      <x:c r="A1083" s="90" t="n">
        <x:f>MONATSBUDGET!$A$61</x:f>
        <x:v>47849</x:v>
      </x:c>
      <x:c r="B1083" t="n">
        <x:f>4</x:f>
        <x:v>4</x:v>
      </x:c>
      <x:c r="C1083" t="str">
        <x:f>IF($N$12="","",$N$12)</x:f>
      </x:c>
      <x:c r="D1083" s="88" t="str">
        <x:f>IF(C1083="","",I1063)</x:f>
      </x:c>
      <x:c r="E1083" s="88" t="str">
        <x:f>IF(C1083="","",ROUND(D1083*$P$12/12,2))</x:f>
      </x:c>
      <x:c r="F1083" s="88" t="str">
        <x:f>IF(C1083="","",MIN(D1083+E1083,$Q$12))</x:f>
      </x:c>
      <x:c r="G1083" s="88" t="str">
        <x:f>IF(C1083="","",MIN(MAX(0,D1083+E1083-F1083),SUMIFS(SONDERZAHLUNGEN!$E$9:$E$128,SONDERZAHLUNGEN!$B$9:$B$128,C1083,SONDERZAHLUNGEN!$C$9:$C$128,A1083,SONDERZAHLUNGEN!$H$9:$H$128,"OK",SONDERZAHLUNGEN!$F$9:$F$128,"Ja")))</x:f>
      </x:c>
      <x:c r="H1083" s="88" t="str">
        <x:f>IF(C1083="","",MIN(MAX(0,D1083+E1083-F1083-G1083),MAX(0,IF(MONATSBUDGET!$C$61="",0,MONATSBUDGET!$C$61)-SUM(F1080:F1099)-SUM(H1080:H1082))))</x:f>
      </x:c>
      <x:c r="I1083" s="88" t="str">
        <x:f>IF(C1083="","",MAX(0,ROUND(D1083+E1083-F1083-G1083-H1083,2)))</x:f>
      </x:c>
      <x:c r="J1083" s="88" t="str">
        <x:f>IF(C1083="","",F1083+G1083+H1083)</x:f>
      </x:c>
      <x:c r="K1083" s="88" t="str">
        <x:f>IF(C1083="","",MAX(0,SUMIFS(SONDERZAHLUNGEN!$E$9:$E$128,SONDERZAHLUNGEN!$B$9:$B$128,C1083,SONDERZAHLUNGEN!$C$9:$C$128,A1083,SONDERZAHLUNGEN!$H$9:$H$128,"OK",SONDERZAHLUNGEN!$F$9:$F$128,"Ja")-G1083))</x:f>
      </x:c>
    </x:row>
    <x:row r="1084" ht="19" customHeight="1">
      <x:c r="A1084" s="90" t="n">
        <x:f>MONATSBUDGET!$A$61</x:f>
        <x:v>47849</x:v>
      </x:c>
      <x:c r="B1084" t="n">
        <x:f>5</x:f>
        <x:v>5</x:v>
      </x:c>
      <x:c r="C1084" t="str">
        <x:f>IF($N$13="","",$N$13)</x:f>
      </x:c>
      <x:c r="D1084" s="88" t="str">
        <x:f>IF(C1084="","",I1064)</x:f>
      </x:c>
      <x:c r="E1084" s="88" t="str">
        <x:f>IF(C1084="","",ROUND(D1084*$P$13/12,2))</x:f>
      </x:c>
      <x:c r="F1084" s="88" t="str">
        <x:f>IF(C1084="","",MIN(D1084+E1084,$Q$13))</x:f>
      </x:c>
      <x:c r="G1084" s="88" t="str">
        <x:f>IF(C1084="","",MIN(MAX(0,D1084+E1084-F1084),SUMIFS(SONDERZAHLUNGEN!$E$9:$E$128,SONDERZAHLUNGEN!$B$9:$B$128,C1084,SONDERZAHLUNGEN!$C$9:$C$128,A1084,SONDERZAHLUNGEN!$H$9:$H$128,"OK",SONDERZAHLUNGEN!$F$9:$F$128,"Ja")))</x:f>
      </x:c>
      <x:c r="H1084" s="88" t="str">
        <x:f>IF(C1084="","",MIN(MAX(0,D1084+E1084-F1084-G1084),MAX(0,IF(MONATSBUDGET!$C$61="",0,MONATSBUDGET!$C$61)-SUM(F1080:F1099)-SUM(H1080:H1083))))</x:f>
      </x:c>
      <x:c r="I1084" s="88" t="str">
        <x:f>IF(C1084="","",MAX(0,ROUND(D1084+E1084-F1084-G1084-H1084,2)))</x:f>
      </x:c>
      <x:c r="J1084" s="88" t="str">
        <x:f>IF(C1084="","",F1084+G1084+H1084)</x:f>
      </x:c>
      <x:c r="K1084" s="88" t="str">
        <x:f>IF(C1084="","",MAX(0,SUMIFS(SONDERZAHLUNGEN!$E$9:$E$128,SONDERZAHLUNGEN!$B$9:$B$128,C1084,SONDERZAHLUNGEN!$C$9:$C$128,A1084,SONDERZAHLUNGEN!$H$9:$H$128,"OK",SONDERZAHLUNGEN!$F$9:$F$128,"Ja")-G1084))</x:f>
      </x:c>
    </x:row>
    <x:row r="1085" ht="19" customHeight="1">
      <x:c r="A1085" s="90" t="n">
        <x:f>MONATSBUDGET!$A$61</x:f>
        <x:v>47849</x:v>
      </x:c>
      <x:c r="B1085" t="n">
        <x:f>6</x:f>
        <x:v>6</x:v>
      </x:c>
      <x:c r="C1085" t="str">
        <x:f>IF($N$14="","",$N$14)</x:f>
      </x:c>
      <x:c r="D1085" s="88" t="str">
        <x:f>IF(C1085="","",I1065)</x:f>
      </x:c>
      <x:c r="E1085" s="88" t="str">
        <x:f>IF(C1085="","",ROUND(D1085*$P$14/12,2))</x:f>
      </x:c>
      <x:c r="F1085" s="88" t="str">
        <x:f>IF(C1085="","",MIN(D1085+E1085,$Q$14))</x:f>
      </x:c>
      <x:c r="G1085" s="88" t="str">
        <x:f>IF(C1085="","",MIN(MAX(0,D1085+E1085-F1085),SUMIFS(SONDERZAHLUNGEN!$E$9:$E$128,SONDERZAHLUNGEN!$B$9:$B$128,C1085,SONDERZAHLUNGEN!$C$9:$C$128,A1085,SONDERZAHLUNGEN!$H$9:$H$128,"OK",SONDERZAHLUNGEN!$F$9:$F$128,"Ja")))</x:f>
      </x:c>
      <x:c r="H1085" s="88" t="str">
        <x:f>IF(C1085="","",MIN(MAX(0,D1085+E1085-F1085-G1085),MAX(0,IF(MONATSBUDGET!$C$61="",0,MONATSBUDGET!$C$61)-SUM(F1080:F1099)-SUM(H1080:H1084))))</x:f>
      </x:c>
      <x:c r="I1085" s="88" t="str">
        <x:f>IF(C1085="","",MAX(0,ROUND(D1085+E1085-F1085-G1085-H1085,2)))</x:f>
      </x:c>
      <x:c r="J1085" s="88" t="str">
        <x:f>IF(C1085="","",F1085+G1085+H1085)</x:f>
      </x:c>
      <x:c r="K1085" s="88" t="str">
        <x:f>IF(C1085="","",MAX(0,SUMIFS(SONDERZAHLUNGEN!$E$9:$E$128,SONDERZAHLUNGEN!$B$9:$B$128,C1085,SONDERZAHLUNGEN!$C$9:$C$128,A1085,SONDERZAHLUNGEN!$H$9:$H$128,"OK",SONDERZAHLUNGEN!$F$9:$F$128,"Ja")-G1085))</x:f>
      </x:c>
    </x:row>
    <x:row r="1086" ht="19" customHeight="1">
      <x:c r="A1086" s="90" t="n">
        <x:f>MONATSBUDGET!$A$61</x:f>
        <x:v>47849</x:v>
      </x:c>
      <x:c r="B1086" t="n">
        <x:f>7</x:f>
        <x:v>7</x:v>
      </x:c>
      <x:c r="C1086" t="str">
        <x:f>IF($N$15="","",$N$15)</x:f>
      </x:c>
      <x:c r="D1086" s="88" t="str">
        <x:f>IF(C1086="","",I1066)</x:f>
      </x:c>
      <x:c r="E1086" s="88" t="str">
        <x:f>IF(C1086="","",ROUND(D1086*$P$15/12,2))</x:f>
      </x:c>
      <x:c r="F1086" s="88" t="str">
        <x:f>IF(C1086="","",MIN(D1086+E1086,$Q$15))</x:f>
      </x:c>
      <x:c r="G1086" s="88" t="str">
        <x:f>IF(C1086="","",MIN(MAX(0,D1086+E1086-F1086),SUMIFS(SONDERZAHLUNGEN!$E$9:$E$128,SONDERZAHLUNGEN!$B$9:$B$128,C1086,SONDERZAHLUNGEN!$C$9:$C$128,A1086,SONDERZAHLUNGEN!$H$9:$H$128,"OK",SONDERZAHLUNGEN!$F$9:$F$128,"Ja")))</x:f>
      </x:c>
      <x:c r="H1086" s="88" t="str">
        <x:f>IF(C1086="","",MIN(MAX(0,D1086+E1086-F1086-G1086),MAX(0,IF(MONATSBUDGET!$C$61="",0,MONATSBUDGET!$C$61)-SUM(F1080:F1099)-SUM(H1080:H1085))))</x:f>
      </x:c>
      <x:c r="I1086" s="88" t="str">
        <x:f>IF(C1086="","",MAX(0,ROUND(D1086+E1086-F1086-G1086-H1086,2)))</x:f>
      </x:c>
      <x:c r="J1086" s="88" t="str">
        <x:f>IF(C1086="","",F1086+G1086+H1086)</x:f>
      </x:c>
      <x:c r="K1086" s="88" t="str">
        <x:f>IF(C1086="","",MAX(0,SUMIFS(SONDERZAHLUNGEN!$E$9:$E$128,SONDERZAHLUNGEN!$B$9:$B$128,C1086,SONDERZAHLUNGEN!$C$9:$C$128,A1086,SONDERZAHLUNGEN!$H$9:$H$128,"OK",SONDERZAHLUNGEN!$F$9:$F$128,"Ja")-G1086))</x:f>
      </x:c>
    </x:row>
    <x:row r="1087" ht="19" customHeight="1">
      <x:c r="A1087" s="90" t="n">
        <x:f>MONATSBUDGET!$A$61</x:f>
        <x:v>47849</x:v>
      </x:c>
      <x:c r="B1087" t="n">
        <x:f>8</x:f>
        <x:v>8</x:v>
      </x:c>
      <x:c r="C1087" t="str">
        <x:f>IF($N$16="","",$N$16)</x:f>
      </x:c>
      <x:c r="D1087" s="88" t="str">
        <x:f>IF(C1087="","",I1067)</x:f>
      </x:c>
      <x:c r="E1087" s="88" t="str">
        <x:f>IF(C1087="","",ROUND(D1087*$P$16/12,2))</x:f>
      </x:c>
      <x:c r="F1087" s="88" t="str">
        <x:f>IF(C1087="","",MIN(D1087+E1087,$Q$16))</x:f>
      </x:c>
      <x:c r="G1087" s="88" t="str">
        <x:f>IF(C1087="","",MIN(MAX(0,D1087+E1087-F1087),SUMIFS(SONDERZAHLUNGEN!$E$9:$E$128,SONDERZAHLUNGEN!$B$9:$B$128,C1087,SONDERZAHLUNGEN!$C$9:$C$128,A1087,SONDERZAHLUNGEN!$H$9:$H$128,"OK",SONDERZAHLUNGEN!$F$9:$F$128,"Ja")))</x:f>
      </x:c>
      <x:c r="H1087" s="88" t="str">
        <x:f>IF(C1087="","",MIN(MAX(0,D1087+E1087-F1087-G1087),MAX(0,IF(MONATSBUDGET!$C$61="",0,MONATSBUDGET!$C$61)-SUM(F1080:F1099)-SUM(H1080:H1086))))</x:f>
      </x:c>
      <x:c r="I1087" s="88" t="str">
        <x:f>IF(C1087="","",MAX(0,ROUND(D1087+E1087-F1087-G1087-H1087,2)))</x:f>
      </x:c>
      <x:c r="J1087" s="88" t="str">
        <x:f>IF(C1087="","",F1087+G1087+H1087)</x:f>
      </x:c>
      <x:c r="K1087" s="88" t="str">
        <x:f>IF(C1087="","",MAX(0,SUMIFS(SONDERZAHLUNGEN!$E$9:$E$128,SONDERZAHLUNGEN!$B$9:$B$128,C1087,SONDERZAHLUNGEN!$C$9:$C$128,A1087,SONDERZAHLUNGEN!$H$9:$H$128,"OK",SONDERZAHLUNGEN!$F$9:$F$128,"Ja")-G1087))</x:f>
      </x:c>
    </x:row>
    <x:row r="1088" ht="19" customHeight="1">
      <x:c r="A1088" s="90" t="n">
        <x:f>MONATSBUDGET!$A$61</x:f>
        <x:v>47849</x:v>
      </x:c>
      <x:c r="B1088" t="n">
        <x:f>9</x:f>
        <x:v>9</x:v>
      </x:c>
      <x:c r="C1088" t="str">
        <x:f>IF($N$17="","",$N$17)</x:f>
      </x:c>
      <x:c r="D1088" s="88" t="str">
        <x:f>IF(C1088="","",I1068)</x:f>
      </x:c>
      <x:c r="E1088" s="88" t="str">
        <x:f>IF(C1088="","",ROUND(D1088*$P$17/12,2))</x:f>
      </x:c>
      <x:c r="F1088" s="88" t="str">
        <x:f>IF(C1088="","",MIN(D1088+E1088,$Q$17))</x:f>
      </x:c>
      <x:c r="G1088" s="88" t="str">
        <x:f>IF(C1088="","",MIN(MAX(0,D1088+E1088-F1088),SUMIFS(SONDERZAHLUNGEN!$E$9:$E$128,SONDERZAHLUNGEN!$B$9:$B$128,C1088,SONDERZAHLUNGEN!$C$9:$C$128,A1088,SONDERZAHLUNGEN!$H$9:$H$128,"OK",SONDERZAHLUNGEN!$F$9:$F$128,"Ja")))</x:f>
      </x:c>
      <x:c r="H1088" s="88" t="str">
        <x:f>IF(C1088="","",MIN(MAX(0,D1088+E1088-F1088-G1088),MAX(0,IF(MONATSBUDGET!$C$61="",0,MONATSBUDGET!$C$61)-SUM(F1080:F1099)-SUM(H1080:H1087))))</x:f>
      </x:c>
      <x:c r="I1088" s="88" t="str">
        <x:f>IF(C1088="","",MAX(0,ROUND(D1088+E1088-F1088-G1088-H1088,2)))</x:f>
      </x:c>
      <x:c r="J1088" s="88" t="str">
        <x:f>IF(C1088="","",F1088+G1088+H1088)</x:f>
      </x:c>
      <x:c r="K1088" s="88" t="str">
        <x:f>IF(C1088="","",MAX(0,SUMIFS(SONDERZAHLUNGEN!$E$9:$E$128,SONDERZAHLUNGEN!$B$9:$B$128,C1088,SONDERZAHLUNGEN!$C$9:$C$128,A1088,SONDERZAHLUNGEN!$H$9:$H$128,"OK",SONDERZAHLUNGEN!$F$9:$F$128,"Ja")-G1088))</x:f>
      </x:c>
    </x:row>
    <x:row r="1089" ht="19" customHeight="1">
      <x:c r="A1089" s="90" t="n">
        <x:f>MONATSBUDGET!$A$61</x:f>
        <x:v>47849</x:v>
      </x:c>
      <x:c r="B1089" t="n">
        <x:f>10</x:f>
        <x:v>10</x:v>
      </x:c>
      <x:c r="C1089" t="str">
        <x:f>IF($N$18="","",$N$18)</x:f>
      </x:c>
      <x:c r="D1089" s="88" t="str">
        <x:f>IF(C1089="","",I1069)</x:f>
      </x:c>
      <x:c r="E1089" s="88" t="str">
        <x:f>IF(C1089="","",ROUND(D1089*$P$18/12,2))</x:f>
      </x:c>
      <x:c r="F1089" s="88" t="str">
        <x:f>IF(C1089="","",MIN(D1089+E1089,$Q$18))</x:f>
      </x:c>
      <x:c r="G1089" s="88" t="str">
        <x:f>IF(C1089="","",MIN(MAX(0,D1089+E1089-F1089),SUMIFS(SONDERZAHLUNGEN!$E$9:$E$128,SONDERZAHLUNGEN!$B$9:$B$128,C1089,SONDERZAHLUNGEN!$C$9:$C$128,A1089,SONDERZAHLUNGEN!$H$9:$H$128,"OK",SONDERZAHLUNGEN!$F$9:$F$128,"Ja")))</x:f>
      </x:c>
      <x:c r="H1089" s="88" t="str">
        <x:f>IF(C1089="","",MIN(MAX(0,D1089+E1089-F1089-G1089),MAX(0,IF(MONATSBUDGET!$C$61="",0,MONATSBUDGET!$C$61)-SUM(F1080:F1099)-SUM(H1080:H1088))))</x:f>
      </x:c>
      <x:c r="I1089" s="88" t="str">
        <x:f>IF(C1089="","",MAX(0,ROUND(D1089+E1089-F1089-G1089-H1089,2)))</x:f>
      </x:c>
      <x:c r="J1089" s="88" t="str">
        <x:f>IF(C1089="","",F1089+G1089+H1089)</x:f>
      </x:c>
      <x:c r="K1089" s="88" t="str">
        <x:f>IF(C1089="","",MAX(0,SUMIFS(SONDERZAHLUNGEN!$E$9:$E$128,SONDERZAHLUNGEN!$B$9:$B$128,C1089,SONDERZAHLUNGEN!$C$9:$C$128,A1089,SONDERZAHLUNGEN!$H$9:$H$128,"OK",SONDERZAHLUNGEN!$F$9:$F$128,"Ja")-G1089))</x:f>
      </x:c>
    </x:row>
    <x:row r="1090" ht="19" customHeight="1">
      <x:c r="A1090" s="90" t="n">
        <x:f>MONATSBUDGET!$A$61</x:f>
        <x:v>47849</x:v>
      </x:c>
      <x:c r="B1090" t="n">
        <x:f>11</x:f>
        <x:v>11</x:v>
      </x:c>
      <x:c r="C1090" t="str">
        <x:f>IF($N$19="","",$N$19)</x:f>
      </x:c>
      <x:c r="D1090" s="88" t="str">
        <x:f>IF(C1090="","",I1070)</x:f>
      </x:c>
      <x:c r="E1090" s="88" t="str">
        <x:f>IF(C1090="","",ROUND(D1090*$P$19/12,2))</x:f>
      </x:c>
      <x:c r="F1090" s="88" t="str">
        <x:f>IF(C1090="","",MIN(D1090+E1090,$Q$19))</x:f>
      </x:c>
      <x:c r="G1090" s="88" t="str">
        <x:f>IF(C1090="","",MIN(MAX(0,D1090+E1090-F1090),SUMIFS(SONDERZAHLUNGEN!$E$9:$E$128,SONDERZAHLUNGEN!$B$9:$B$128,C1090,SONDERZAHLUNGEN!$C$9:$C$128,A1090,SONDERZAHLUNGEN!$H$9:$H$128,"OK",SONDERZAHLUNGEN!$F$9:$F$128,"Ja")))</x:f>
      </x:c>
      <x:c r="H1090" s="88" t="str">
        <x:f>IF(C1090="","",MIN(MAX(0,D1090+E1090-F1090-G1090),MAX(0,IF(MONATSBUDGET!$C$61="",0,MONATSBUDGET!$C$61)-SUM(F1080:F1099)-SUM(H1080:H1089))))</x:f>
      </x:c>
      <x:c r="I1090" s="88" t="str">
        <x:f>IF(C1090="","",MAX(0,ROUND(D1090+E1090-F1090-G1090-H1090,2)))</x:f>
      </x:c>
      <x:c r="J1090" s="88" t="str">
        <x:f>IF(C1090="","",F1090+G1090+H1090)</x:f>
      </x:c>
      <x:c r="K1090" s="88" t="str">
        <x:f>IF(C1090="","",MAX(0,SUMIFS(SONDERZAHLUNGEN!$E$9:$E$128,SONDERZAHLUNGEN!$B$9:$B$128,C1090,SONDERZAHLUNGEN!$C$9:$C$128,A1090,SONDERZAHLUNGEN!$H$9:$H$128,"OK",SONDERZAHLUNGEN!$F$9:$F$128,"Ja")-G1090))</x:f>
      </x:c>
    </x:row>
    <x:row r="1091" ht="19" customHeight="1">
      <x:c r="A1091" s="90" t="n">
        <x:f>MONATSBUDGET!$A$61</x:f>
        <x:v>47849</x:v>
      </x:c>
      <x:c r="B1091" t="n">
        <x:f>12</x:f>
        <x:v>12</x:v>
      </x:c>
      <x:c r="C1091" t="str">
        <x:f>IF($N$20="","",$N$20)</x:f>
      </x:c>
      <x:c r="D1091" s="88" t="str">
        <x:f>IF(C1091="","",I1071)</x:f>
      </x:c>
      <x:c r="E1091" s="88" t="str">
        <x:f>IF(C1091="","",ROUND(D1091*$P$20/12,2))</x:f>
      </x:c>
      <x:c r="F1091" s="88" t="str">
        <x:f>IF(C1091="","",MIN(D1091+E1091,$Q$20))</x:f>
      </x:c>
      <x:c r="G1091" s="88" t="str">
        <x:f>IF(C1091="","",MIN(MAX(0,D1091+E1091-F1091),SUMIFS(SONDERZAHLUNGEN!$E$9:$E$128,SONDERZAHLUNGEN!$B$9:$B$128,C1091,SONDERZAHLUNGEN!$C$9:$C$128,A1091,SONDERZAHLUNGEN!$H$9:$H$128,"OK",SONDERZAHLUNGEN!$F$9:$F$128,"Ja")))</x:f>
      </x:c>
      <x:c r="H1091" s="88" t="str">
        <x:f>IF(C1091="","",MIN(MAX(0,D1091+E1091-F1091-G1091),MAX(0,IF(MONATSBUDGET!$C$61="",0,MONATSBUDGET!$C$61)-SUM(F1080:F1099)-SUM(H1080:H1090))))</x:f>
      </x:c>
      <x:c r="I1091" s="88" t="str">
        <x:f>IF(C1091="","",MAX(0,ROUND(D1091+E1091-F1091-G1091-H1091,2)))</x:f>
      </x:c>
      <x:c r="J1091" s="88" t="str">
        <x:f>IF(C1091="","",F1091+G1091+H1091)</x:f>
      </x:c>
      <x:c r="K1091" s="88" t="str">
        <x:f>IF(C1091="","",MAX(0,SUMIFS(SONDERZAHLUNGEN!$E$9:$E$128,SONDERZAHLUNGEN!$B$9:$B$128,C1091,SONDERZAHLUNGEN!$C$9:$C$128,A1091,SONDERZAHLUNGEN!$H$9:$H$128,"OK",SONDERZAHLUNGEN!$F$9:$F$128,"Ja")-G1091))</x:f>
      </x:c>
    </x:row>
    <x:row r="1092" ht="19" customHeight="1">
      <x:c r="A1092" s="90" t="n">
        <x:f>MONATSBUDGET!$A$61</x:f>
        <x:v>47849</x:v>
      </x:c>
      <x:c r="B1092" t="n">
        <x:f>13</x:f>
        <x:v>13</x:v>
      </x:c>
      <x:c r="C1092" t="str">
        <x:f>IF($N$21="","",$N$21)</x:f>
      </x:c>
      <x:c r="D1092" s="88" t="str">
        <x:f>IF(C1092="","",I1072)</x:f>
      </x:c>
      <x:c r="E1092" s="88" t="str">
        <x:f>IF(C1092="","",ROUND(D1092*$P$21/12,2))</x:f>
      </x:c>
      <x:c r="F1092" s="88" t="str">
        <x:f>IF(C1092="","",MIN(D1092+E1092,$Q$21))</x:f>
      </x:c>
      <x:c r="G1092" s="88" t="str">
        <x:f>IF(C1092="","",MIN(MAX(0,D1092+E1092-F1092),SUMIFS(SONDERZAHLUNGEN!$E$9:$E$128,SONDERZAHLUNGEN!$B$9:$B$128,C1092,SONDERZAHLUNGEN!$C$9:$C$128,A1092,SONDERZAHLUNGEN!$H$9:$H$128,"OK",SONDERZAHLUNGEN!$F$9:$F$128,"Ja")))</x:f>
      </x:c>
      <x:c r="H1092" s="88" t="str">
        <x:f>IF(C1092="","",MIN(MAX(0,D1092+E1092-F1092-G1092),MAX(0,IF(MONATSBUDGET!$C$61="",0,MONATSBUDGET!$C$61)-SUM(F1080:F1099)-SUM(H1080:H1091))))</x:f>
      </x:c>
      <x:c r="I1092" s="88" t="str">
        <x:f>IF(C1092="","",MAX(0,ROUND(D1092+E1092-F1092-G1092-H1092,2)))</x:f>
      </x:c>
      <x:c r="J1092" s="88" t="str">
        <x:f>IF(C1092="","",F1092+G1092+H1092)</x:f>
      </x:c>
      <x:c r="K1092" s="88" t="str">
        <x:f>IF(C1092="","",MAX(0,SUMIFS(SONDERZAHLUNGEN!$E$9:$E$128,SONDERZAHLUNGEN!$B$9:$B$128,C1092,SONDERZAHLUNGEN!$C$9:$C$128,A1092,SONDERZAHLUNGEN!$H$9:$H$128,"OK",SONDERZAHLUNGEN!$F$9:$F$128,"Ja")-G1092))</x:f>
      </x:c>
    </x:row>
    <x:row r="1093" ht="19" customHeight="1">
      <x:c r="A1093" s="90" t="n">
        <x:f>MONATSBUDGET!$A$61</x:f>
        <x:v>47849</x:v>
      </x:c>
      <x:c r="B1093" t="n">
        <x:f>14</x:f>
        <x:v>14</x:v>
      </x:c>
      <x:c r="C1093" t="str">
        <x:f>IF($N$22="","",$N$22)</x:f>
      </x:c>
      <x:c r="D1093" s="88" t="str">
        <x:f>IF(C1093="","",I1073)</x:f>
      </x:c>
      <x:c r="E1093" s="88" t="str">
        <x:f>IF(C1093="","",ROUND(D1093*$P$22/12,2))</x:f>
      </x:c>
      <x:c r="F1093" s="88" t="str">
        <x:f>IF(C1093="","",MIN(D1093+E1093,$Q$22))</x:f>
      </x:c>
      <x:c r="G1093" s="88" t="str">
        <x:f>IF(C1093="","",MIN(MAX(0,D1093+E1093-F1093),SUMIFS(SONDERZAHLUNGEN!$E$9:$E$128,SONDERZAHLUNGEN!$B$9:$B$128,C1093,SONDERZAHLUNGEN!$C$9:$C$128,A1093,SONDERZAHLUNGEN!$H$9:$H$128,"OK",SONDERZAHLUNGEN!$F$9:$F$128,"Ja")))</x:f>
      </x:c>
      <x:c r="H1093" s="88" t="str">
        <x:f>IF(C1093="","",MIN(MAX(0,D1093+E1093-F1093-G1093),MAX(0,IF(MONATSBUDGET!$C$61="",0,MONATSBUDGET!$C$61)-SUM(F1080:F1099)-SUM(H1080:H1092))))</x:f>
      </x:c>
      <x:c r="I1093" s="88" t="str">
        <x:f>IF(C1093="","",MAX(0,ROUND(D1093+E1093-F1093-G1093-H1093,2)))</x:f>
      </x:c>
      <x:c r="J1093" s="88" t="str">
        <x:f>IF(C1093="","",F1093+G1093+H1093)</x:f>
      </x:c>
      <x:c r="K1093" s="88" t="str">
        <x:f>IF(C1093="","",MAX(0,SUMIFS(SONDERZAHLUNGEN!$E$9:$E$128,SONDERZAHLUNGEN!$B$9:$B$128,C1093,SONDERZAHLUNGEN!$C$9:$C$128,A1093,SONDERZAHLUNGEN!$H$9:$H$128,"OK",SONDERZAHLUNGEN!$F$9:$F$128,"Ja")-G1093))</x:f>
      </x:c>
    </x:row>
    <x:row r="1094" ht="19" customHeight="1">
      <x:c r="A1094" s="90" t="n">
        <x:f>MONATSBUDGET!$A$61</x:f>
        <x:v>47849</x:v>
      </x:c>
      <x:c r="B1094" t="n">
        <x:f>15</x:f>
        <x:v>15</x:v>
      </x:c>
      <x:c r="C1094" t="str">
        <x:f>IF($N$23="","",$N$23)</x:f>
      </x:c>
      <x:c r="D1094" s="88" t="str">
        <x:f>IF(C1094="","",I1074)</x:f>
      </x:c>
      <x:c r="E1094" s="88" t="str">
        <x:f>IF(C1094="","",ROUND(D1094*$P$23/12,2))</x:f>
      </x:c>
      <x:c r="F1094" s="88" t="str">
        <x:f>IF(C1094="","",MIN(D1094+E1094,$Q$23))</x:f>
      </x:c>
      <x:c r="G1094" s="88" t="str">
        <x:f>IF(C1094="","",MIN(MAX(0,D1094+E1094-F1094),SUMIFS(SONDERZAHLUNGEN!$E$9:$E$128,SONDERZAHLUNGEN!$B$9:$B$128,C1094,SONDERZAHLUNGEN!$C$9:$C$128,A1094,SONDERZAHLUNGEN!$H$9:$H$128,"OK",SONDERZAHLUNGEN!$F$9:$F$128,"Ja")))</x:f>
      </x:c>
      <x:c r="H1094" s="88" t="str">
        <x:f>IF(C1094="","",MIN(MAX(0,D1094+E1094-F1094-G1094),MAX(0,IF(MONATSBUDGET!$C$61="",0,MONATSBUDGET!$C$61)-SUM(F1080:F1099)-SUM(H1080:H1093))))</x:f>
      </x:c>
      <x:c r="I1094" s="88" t="str">
        <x:f>IF(C1094="","",MAX(0,ROUND(D1094+E1094-F1094-G1094-H1094,2)))</x:f>
      </x:c>
      <x:c r="J1094" s="88" t="str">
        <x:f>IF(C1094="","",F1094+G1094+H1094)</x:f>
      </x:c>
      <x:c r="K1094" s="88" t="str">
        <x:f>IF(C1094="","",MAX(0,SUMIFS(SONDERZAHLUNGEN!$E$9:$E$128,SONDERZAHLUNGEN!$B$9:$B$128,C1094,SONDERZAHLUNGEN!$C$9:$C$128,A1094,SONDERZAHLUNGEN!$H$9:$H$128,"OK",SONDERZAHLUNGEN!$F$9:$F$128,"Ja")-G1094))</x:f>
      </x:c>
    </x:row>
    <x:row r="1095" ht="19" customHeight="1">
      <x:c r="A1095" s="90" t="n">
        <x:f>MONATSBUDGET!$A$61</x:f>
        <x:v>47849</x:v>
      </x:c>
      <x:c r="B1095" t="n">
        <x:f>16</x:f>
        <x:v>16</x:v>
      </x:c>
      <x:c r="C1095" t="str">
        <x:f>IF($N$24="","",$N$24)</x:f>
      </x:c>
      <x:c r="D1095" s="88" t="str">
        <x:f>IF(C1095="","",I1075)</x:f>
      </x:c>
      <x:c r="E1095" s="88" t="str">
        <x:f>IF(C1095="","",ROUND(D1095*$P$24/12,2))</x:f>
      </x:c>
      <x:c r="F1095" s="88" t="str">
        <x:f>IF(C1095="","",MIN(D1095+E1095,$Q$24))</x:f>
      </x:c>
      <x:c r="G1095" s="88" t="str">
        <x:f>IF(C1095="","",MIN(MAX(0,D1095+E1095-F1095),SUMIFS(SONDERZAHLUNGEN!$E$9:$E$128,SONDERZAHLUNGEN!$B$9:$B$128,C1095,SONDERZAHLUNGEN!$C$9:$C$128,A1095,SONDERZAHLUNGEN!$H$9:$H$128,"OK",SONDERZAHLUNGEN!$F$9:$F$128,"Ja")))</x:f>
      </x:c>
      <x:c r="H1095" s="88" t="str">
        <x:f>IF(C1095="","",MIN(MAX(0,D1095+E1095-F1095-G1095),MAX(0,IF(MONATSBUDGET!$C$61="",0,MONATSBUDGET!$C$61)-SUM(F1080:F1099)-SUM(H1080:H1094))))</x:f>
      </x:c>
      <x:c r="I1095" s="88" t="str">
        <x:f>IF(C1095="","",MAX(0,ROUND(D1095+E1095-F1095-G1095-H1095,2)))</x:f>
      </x:c>
      <x:c r="J1095" s="88" t="str">
        <x:f>IF(C1095="","",F1095+G1095+H1095)</x:f>
      </x:c>
      <x:c r="K1095" s="88" t="str">
        <x:f>IF(C1095="","",MAX(0,SUMIFS(SONDERZAHLUNGEN!$E$9:$E$128,SONDERZAHLUNGEN!$B$9:$B$128,C1095,SONDERZAHLUNGEN!$C$9:$C$128,A1095,SONDERZAHLUNGEN!$H$9:$H$128,"OK",SONDERZAHLUNGEN!$F$9:$F$128,"Ja")-G1095))</x:f>
      </x:c>
    </x:row>
    <x:row r="1096" ht="19" customHeight="1">
      <x:c r="A1096" s="90" t="n">
        <x:f>MONATSBUDGET!$A$61</x:f>
        <x:v>47849</x:v>
      </x:c>
      <x:c r="B1096" t="n">
        <x:f>17</x:f>
        <x:v>17</x:v>
      </x:c>
      <x:c r="C1096" t="str">
        <x:f>IF($N$25="","",$N$25)</x:f>
      </x:c>
      <x:c r="D1096" s="88" t="str">
        <x:f>IF(C1096="","",I1076)</x:f>
      </x:c>
      <x:c r="E1096" s="88" t="str">
        <x:f>IF(C1096="","",ROUND(D1096*$P$25/12,2))</x:f>
      </x:c>
      <x:c r="F1096" s="88" t="str">
        <x:f>IF(C1096="","",MIN(D1096+E1096,$Q$25))</x:f>
      </x:c>
      <x:c r="G1096" s="88" t="str">
        <x:f>IF(C1096="","",MIN(MAX(0,D1096+E1096-F1096),SUMIFS(SONDERZAHLUNGEN!$E$9:$E$128,SONDERZAHLUNGEN!$B$9:$B$128,C1096,SONDERZAHLUNGEN!$C$9:$C$128,A1096,SONDERZAHLUNGEN!$H$9:$H$128,"OK",SONDERZAHLUNGEN!$F$9:$F$128,"Ja")))</x:f>
      </x:c>
      <x:c r="H1096" s="88" t="str">
        <x:f>IF(C1096="","",MIN(MAX(0,D1096+E1096-F1096-G1096),MAX(0,IF(MONATSBUDGET!$C$61="",0,MONATSBUDGET!$C$61)-SUM(F1080:F1099)-SUM(H1080:H1095))))</x:f>
      </x:c>
      <x:c r="I1096" s="88" t="str">
        <x:f>IF(C1096="","",MAX(0,ROUND(D1096+E1096-F1096-G1096-H1096,2)))</x:f>
      </x:c>
      <x:c r="J1096" s="88" t="str">
        <x:f>IF(C1096="","",F1096+G1096+H1096)</x:f>
      </x:c>
      <x:c r="K1096" s="88" t="str">
        <x:f>IF(C1096="","",MAX(0,SUMIFS(SONDERZAHLUNGEN!$E$9:$E$128,SONDERZAHLUNGEN!$B$9:$B$128,C1096,SONDERZAHLUNGEN!$C$9:$C$128,A1096,SONDERZAHLUNGEN!$H$9:$H$128,"OK",SONDERZAHLUNGEN!$F$9:$F$128,"Ja")-G1096))</x:f>
      </x:c>
    </x:row>
    <x:row r="1097" ht="19" customHeight="1">
      <x:c r="A1097" s="90" t="n">
        <x:f>MONATSBUDGET!$A$61</x:f>
        <x:v>47849</x:v>
      </x:c>
      <x:c r="B1097" t="n">
        <x:f>18</x:f>
        <x:v>18</x:v>
      </x:c>
      <x:c r="C1097" t="str">
        <x:f>IF($N$26="","",$N$26)</x:f>
      </x:c>
      <x:c r="D1097" s="88" t="str">
        <x:f>IF(C1097="","",I1077)</x:f>
      </x:c>
      <x:c r="E1097" s="88" t="str">
        <x:f>IF(C1097="","",ROUND(D1097*$P$26/12,2))</x:f>
      </x:c>
      <x:c r="F1097" s="88" t="str">
        <x:f>IF(C1097="","",MIN(D1097+E1097,$Q$26))</x:f>
      </x:c>
      <x:c r="G1097" s="88" t="str">
        <x:f>IF(C1097="","",MIN(MAX(0,D1097+E1097-F1097),SUMIFS(SONDERZAHLUNGEN!$E$9:$E$128,SONDERZAHLUNGEN!$B$9:$B$128,C1097,SONDERZAHLUNGEN!$C$9:$C$128,A1097,SONDERZAHLUNGEN!$H$9:$H$128,"OK",SONDERZAHLUNGEN!$F$9:$F$128,"Ja")))</x:f>
      </x:c>
      <x:c r="H1097" s="88" t="str">
        <x:f>IF(C1097="","",MIN(MAX(0,D1097+E1097-F1097-G1097),MAX(0,IF(MONATSBUDGET!$C$61="",0,MONATSBUDGET!$C$61)-SUM(F1080:F1099)-SUM(H1080:H1096))))</x:f>
      </x:c>
      <x:c r="I1097" s="88" t="str">
        <x:f>IF(C1097="","",MAX(0,ROUND(D1097+E1097-F1097-G1097-H1097,2)))</x:f>
      </x:c>
      <x:c r="J1097" s="88" t="str">
        <x:f>IF(C1097="","",F1097+G1097+H1097)</x:f>
      </x:c>
      <x:c r="K1097" s="88" t="str">
        <x:f>IF(C1097="","",MAX(0,SUMIFS(SONDERZAHLUNGEN!$E$9:$E$128,SONDERZAHLUNGEN!$B$9:$B$128,C1097,SONDERZAHLUNGEN!$C$9:$C$128,A1097,SONDERZAHLUNGEN!$H$9:$H$128,"OK",SONDERZAHLUNGEN!$F$9:$F$128,"Ja")-G1097))</x:f>
      </x:c>
    </x:row>
    <x:row r="1098" ht="19" customHeight="1">
      <x:c r="A1098" s="90" t="n">
        <x:f>MONATSBUDGET!$A$61</x:f>
        <x:v>47849</x:v>
      </x:c>
      <x:c r="B1098" t="n">
        <x:f>19</x:f>
        <x:v>19</x:v>
      </x:c>
      <x:c r="C1098" t="str">
        <x:f>IF($N$27="","",$N$27)</x:f>
      </x:c>
      <x:c r="D1098" s="88" t="str">
        <x:f>IF(C1098="","",I1078)</x:f>
      </x:c>
      <x:c r="E1098" s="88" t="str">
        <x:f>IF(C1098="","",ROUND(D1098*$P$27/12,2))</x:f>
      </x:c>
      <x:c r="F1098" s="88" t="str">
        <x:f>IF(C1098="","",MIN(D1098+E1098,$Q$27))</x:f>
      </x:c>
      <x:c r="G1098" s="88" t="str">
        <x:f>IF(C1098="","",MIN(MAX(0,D1098+E1098-F1098),SUMIFS(SONDERZAHLUNGEN!$E$9:$E$128,SONDERZAHLUNGEN!$B$9:$B$128,C1098,SONDERZAHLUNGEN!$C$9:$C$128,A1098,SONDERZAHLUNGEN!$H$9:$H$128,"OK",SONDERZAHLUNGEN!$F$9:$F$128,"Ja")))</x:f>
      </x:c>
      <x:c r="H1098" s="88" t="str">
        <x:f>IF(C1098="","",MIN(MAX(0,D1098+E1098-F1098-G1098),MAX(0,IF(MONATSBUDGET!$C$61="",0,MONATSBUDGET!$C$61)-SUM(F1080:F1099)-SUM(H1080:H1097))))</x:f>
      </x:c>
      <x:c r="I1098" s="88" t="str">
        <x:f>IF(C1098="","",MAX(0,ROUND(D1098+E1098-F1098-G1098-H1098,2)))</x:f>
      </x:c>
      <x:c r="J1098" s="88" t="str">
        <x:f>IF(C1098="","",F1098+G1098+H1098)</x:f>
      </x:c>
      <x:c r="K1098" s="88" t="str">
        <x:f>IF(C1098="","",MAX(0,SUMIFS(SONDERZAHLUNGEN!$E$9:$E$128,SONDERZAHLUNGEN!$B$9:$B$128,C1098,SONDERZAHLUNGEN!$C$9:$C$128,A1098,SONDERZAHLUNGEN!$H$9:$H$128,"OK",SONDERZAHLUNGEN!$F$9:$F$128,"Ja")-G1098))</x:f>
      </x:c>
    </x:row>
    <x:row r="1099" ht="19" customHeight="1">
      <x:c r="A1099" s="90" t="n">
        <x:f>MONATSBUDGET!$A$61</x:f>
        <x:v>47849</x:v>
      </x:c>
      <x:c r="B1099" t="n">
        <x:f>20</x:f>
        <x:v>20</x:v>
      </x:c>
      <x:c r="C1099" t="str">
        <x:f>IF($N$28="","",$N$28)</x:f>
      </x:c>
      <x:c r="D1099" s="88" t="str">
        <x:f>IF(C1099="","",I1079)</x:f>
      </x:c>
      <x:c r="E1099" s="88" t="str">
        <x:f>IF(C1099="","",ROUND(D1099*$P$28/12,2))</x:f>
      </x:c>
      <x:c r="F1099" s="88" t="str">
        <x:f>IF(C1099="","",MIN(D1099+E1099,$Q$28))</x:f>
      </x:c>
      <x:c r="G1099" s="88" t="str">
        <x:f>IF(C1099="","",MIN(MAX(0,D1099+E1099-F1099),SUMIFS(SONDERZAHLUNGEN!$E$9:$E$128,SONDERZAHLUNGEN!$B$9:$B$128,C1099,SONDERZAHLUNGEN!$C$9:$C$128,A1099,SONDERZAHLUNGEN!$H$9:$H$128,"OK",SONDERZAHLUNGEN!$F$9:$F$128,"Ja")))</x:f>
      </x:c>
      <x:c r="H1099" s="88" t="str">
        <x:f>IF(C1099="","",MIN(MAX(0,D1099+E1099-F1099-G1099),MAX(0,IF(MONATSBUDGET!$C$61="",0,MONATSBUDGET!$C$61)-SUM(F1080:F1099)-SUM(H1080:H1098))))</x:f>
      </x:c>
      <x:c r="I1099" s="88" t="str">
        <x:f>IF(C1099="","",MAX(0,ROUND(D1099+E1099-F1099-G1099-H1099,2)))</x:f>
      </x:c>
      <x:c r="J1099" s="88" t="str">
        <x:f>IF(C1099="","",F1099+G1099+H1099)</x:f>
      </x:c>
      <x:c r="K1099" s="88" t="str">
        <x:f>IF(C1099="","",MAX(0,SUMIFS(SONDERZAHLUNGEN!$E$9:$E$128,SONDERZAHLUNGEN!$B$9:$B$128,C1099,SONDERZAHLUNGEN!$C$9:$C$128,A1099,SONDERZAHLUNGEN!$H$9:$H$128,"OK",SONDERZAHLUNGEN!$F$9:$F$128,"Ja")-G1099))</x:f>
      </x:c>
    </x:row>
    <x:row r="1100" ht="19" customHeight="1">
      <x:c r="A1100" s="90" t="n">
        <x:f>MONATSBUDGET!$A$62</x:f>
        <x:v>47880</x:v>
      </x:c>
      <x:c r="B1100" t="n">
        <x:f>1</x:f>
        <x:v>1</x:v>
      </x:c>
      <x:c r="C1100" t="str">
        <x:f>IF($N$9="","",$N$9)</x:f>
      </x:c>
      <x:c r="D1100" s="88" t="str">
        <x:f>IF(C1100="","",I1080)</x:f>
      </x:c>
      <x:c r="E1100" s="88" t="str">
        <x:f>IF(C1100="","",ROUND(D1100*$P$9/12,2))</x:f>
      </x:c>
      <x:c r="F1100" s="88" t="str">
        <x:f>IF(C1100="","",MIN(D1100+E1100,$Q$9))</x:f>
      </x:c>
      <x:c r="G1100" s="88" t="str">
        <x:f>IF(C1100="","",MIN(MAX(0,D1100+E1100-F1100),SUMIFS(SONDERZAHLUNGEN!$E$9:$E$128,SONDERZAHLUNGEN!$B$9:$B$128,C1100,SONDERZAHLUNGEN!$C$9:$C$128,A1100,SONDERZAHLUNGEN!$H$9:$H$128,"OK",SONDERZAHLUNGEN!$F$9:$F$128,"Ja")))</x:f>
      </x:c>
      <x:c r="H1100" s="88" t="str">
        <x:f>IF(C1100="","",MIN(MAX(0,D1100+E1100-F1100-G1100),MAX(0,IF(MONATSBUDGET!$C$62="",0,MONATSBUDGET!$C$62)-SUM(F1100:F1119)-0)))</x:f>
      </x:c>
      <x:c r="I1100" s="88" t="str">
        <x:f>IF(C1100="","",MAX(0,ROUND(D1100+E1100-F1100-G1100-H1100,2)))</x:f>
      </x:c>
      <x:c r="J1100" s="88" t="str">
        <x:f>IF(C1100="","",F1100+G1100+H1100)</x:f>
      </x:c>
      <x:c r="K1100" s="88" t="str">
        <x:f>IF(C1100="","",MAX(0,SUMIFS(SONDERZAHLUNGEN!$E$9:$E$128,SONDERZAHLUNGEN!$B$9:$B$128,C1100,SONDERZAHLUNGEN!$C$9:$C$128,A1100,SONDERZAHLUNGEN!$H$9:$H$128,"OK",SONDERZAHLUNGEN!$F$9:$F$128,"Ja")-G1100))</x:f>
      </x:c>
    </x:row>
    <x:row r="1101" ht="19" customHeight="1">
      <x:c r="A1101" s="90" t="n">
        <x:f>MONATSBUDGET!$A$62</x:f>
        <x:v>47880</x:v>
      </x:c>
      <x:c r="B1101" t="n">
        <x:f>2</x:f>
        <x:v>2</x:v>
      </x:c>
      <x:c r="C1101" t="str">
        <x:f>IF($N$10="","",$N$10)</x:f>
      </x:c>
      <x:c r="D1101" s="88" t="str">
        <x:f>IF(C1101="","",I1081)</x:f>
      </x:c>
      <x:c r="E1101" s="88" t="str">
        <x:f>IF(C1101="","",ROUND(D1101*$P$10/12,2))</x:f>
      </x:c>
      <x:c r="F1101" s="88" t="str">
        <x:f>IF(C1101="","",MIN(D1101+E1101,$Q$10))</x:f>
      </x:c>
      <x:c r="G1101" s="88" t="str">
        <x:f>IF(C1101="","",MIN(MAX(0,D1101+E1101-F1101),SUMIFS(SONDERZAHLUNGEN!$E$9:$E$128,SONDERZAHLUNGEN!$B$9:$B$128,C1101,SONDERZAHLUNGEN!$C$9:$C$128,A1101,SONDERZAHLUNGEN!$H$9:$H$128,"OK",SONDERZAHLUNGEN!$F$9:$F$128,"Ja")))</x:f>
      </x:c>
      <x:c r="H1101" s="88" t="str">
        <x:f>IF(C1101="","",MIN(MAX(0,D1101+E1101-F1101-G1101),MAX(0,IF(MONATSBUDGET!$C$62="",0,MONATSBUDGET!$C$62)-SUM(F1100:F1119)-SUM(H1100:H1100))))</x:f>
      </x:c>
      <x:c r="I1101" s="88" t="str">
        <x:f>IF(C1101="","",MAX(0,ROUND(D1101+E1101-F1101-G1101-H1101,2)))</x:f>
      </x:c>
      <x:c r="J1101" s="88" t="str">
        <x:f>IF(C1101="","",F1101+G1101+H1101)</x:f>
      </x:c>
      <x:c r="K1101" s="88" t="str">
        <x:f>IF(C1101="","",MAX(0,SUMIFS(SONDERZAHLUNGEN!$E$9:$E$128,SONDERZAHLUNGEN!$B$9:$B$128,C1101,SONDERZAHLUNGEN!$C$9:$C$128,A1101,SONDERZAHLUNGEN!$H$9:$H$128,"OK",SONDERZAHLUNGEN!$F$9:$F$128,"Ja")-G1101))</x:f>
      </x:c>
    </x:row>
    <x:row r="1102" ht="19" customHeight="1">
      <x:c r="A1102" s="90" t="n">
        <x:f>MONATSBUDGET!$A$62</x:f>
        <x:v>47880</x:v>
      </x:c>
      <x:c r="B1102" t="n">
        <x:f>3</x:f>
        <x:v>3</x:v>
      </x:c>
      <x:c r="C1102" t="str">
        <x:f>IF($N$11="","",$N$11)</x:f>
      </x:c>
      <x:c r="D1102" s="88" t="str">
        <x:f>IF(C1102="","",I1082)</x:f>
      </x:c>
      <x:c r="E1102" s="88" t="str">
        <x:f>IF(C1102="","",ROUND(D1102*$P$11/12,2))</x:f>
      </x:c>
      <x:c r="F1102" s="88" t="str">
        <x:f>IF(C1102="","",MIN(D1102+E1102,$Q$11))</x:f>
      </x:c>
      <x:c r="G1102" s="88" t="str">
        <x:f>IF(C1102="","",MIN(MAX(0,D1102+E1102-F1102),SUMIFS(SONDERZAHLUNGEN!$E$9:$E$128,SONDERZAHLUNGEN!$B$9:$B$128,C1102,SONDERZAHLUNGEN!$C$9:$C$128,A1102,SONDERZAHLUNGEN!$H$9:$H$128,"OK",SONDERZAHLUNGEN!$F$9:$F$128,"Ja")))</x:f>
      </x:c>
      <x:c r="H1102" s="88" t="str">
        <x:f>IF(C1102="","",MIN(MAX(0,D1102+E1102-F1102-G1102),MAX(0,IF(MONATSBUDGET!$C$62="",0,MONATSBUDGET!$C$62)-SUM(F1100:F1119)-SUM(H1100:H1101))))</x:f>
      </x:c>
      <x:c r="I1102" s="88" t="str">
        <x:f>IF(C1102="","",MAX(0,ROUND(D1102+E1102-F1102-G1102-H1102,2)))</x:f>
      </x:c>
      <x:c r="J1102" s="88" t="str">
        <x:f>IF(C1102="","",F1102+G1102+H1102)</x:f>
      </x:c>
      <x:c r="K1102" s="88" t="str">
        <x:f>IF(C1102="","",MAX(0,SUMIFS(SONDERZAHLUNGEN!$E$9:$E$128,SONDERZAHLUNGEN!$B$9:$B$128,C1102,SONDERZAHLUNGEN!$C$9:$C$128,A1102,SONDERZAHLUNGEN!$H$9:$H$128,"OK",SONDERZAHLUNGEN!$F$9:$F$128,"Ja")-G1102))</x:f>
      </x:c>
    </x:row>
    <x:row r="1103" ht="19" customHeight="1">
      <x:c r="A1103" s="90" t="n">
        <x:f>MONATSBUDGET!$A$62</x:f>
        <x:v>47880</x:v>
      </x:c>
      <x:c r="B1103" t="n">
        <x:f>4</x:f>
        <x:v>4</x:v>
      </x:c>
      <x:c r="C1103" t="str">
        <x:f>IF($N$12="","",$N$12)</x:f>
      </x:c>
      <x:c r="D1103" s="88" t="str">
        <x:f>IF(C1103="","",I1083)</x:f>
      </x:c>
      <x:c r="E1103" s="88" t="str">
        <x:f>IF(C1103="","",ROUND(D1103*$P$12/12,2))</x:f>
      </x:c>
      <x:c r="F1103" s="88" t="str">
        <x:f>IF(C1103="","",MIN(D1103+E1103,$Q$12))</x:f>
      </x:c>
      <x:c r="G1103" s="88" t="str">
        <x:f>IF(C1103="","",MIN(MAX(0,D1103+E1103-F1103),SUMIFS(SONDERZAHLUNGEN!$E$9:$E$128,SONDERZAHLUNGEN!$B$9:$B$128,C1103,SONDERZAHLUNGEN!$C$9:$C$128,A1103,SONDERZAHLUNGEN!$H$9:$H$128,"OK",SONDERZAHLUNGEN!$F$9:$F$128,"Ja")))</x:f>
      </x:c>
      <x:c r="H1103" s="88" t="str">
        <x:f>IF(C1103="","",MIN(MAX(0,D1103+E1103-F1103-G1103),MAX(0,IF(MONATSBUDGET!$C$62="",0,MONATSBUDGET!$C$62)-SUM(F1100:F1119)-SUM(H1100:H1102))))</x:f>
      </x:c>
      <x:c r="I1103" s="88" t="str">
        <x:f>IF(C1103="","",MAX(0,ROUND(D1103+E1103-F1103-G1103-H1103,2)))</x:f>
      </x:c>
      <x:c r="J1103" s="88" t="str">
        <x:f>IF(C1103="","",F1103+G1103+H1103)</x:f>
      </x:c>
      <x:c r="K1103" s="88" t="str">
        <x:f>IF(C1103="","",MAX(0,SUMIFS(SONDERZAHLUNGEN!$E$9:$E$128,SONDERZAHLUNGEN!$B$9:$B$128,C1103,SONDERZAHLUNGEN!$C$9:$C$128,A1103,SONDERZAHLUNGEN!$H$9:$H$128,"OK",SONDERZAHLUNGEN!$F$9:$F$128,"Ja")-G1103))</x:f>
      </x:c>
    </x:row>
    <x:row r="1104" ht="19" customHeight="1">
      <x:c r="A1104" s="90" t="n">
        <x:f>MONATSBUDGET!$A$62</x:f>
        <x:v>47880</x:v>
      </x:c>
      <x:c r="B1104" t="n">
        <x:f>5</x:f>
        <x:v>5</x:v>
      </x:c>
      <x:c r="C1104" t="str">
        <x:f>IF($N$13="","",$N$13)</x:f>
      </x:c>
      <x:c r="D1104" s="88" t="str">
        <x:f>IF(C1104="","",I1084)</x:f>
      </x:c>
      <x:c r="E1104" s="88" t="str">
        <x:f>IF(C1104="","",ROUND(D1104*$P$13/12,2))</x:f>
      </x:c>
      <x:c r="F1104" s="88" t="str">
        <x:f>IF(C1104="","",MIN(D1104+E1104,$Q$13))</x:f>
      </x:c>
      <x:c r="G1104" s="88" t="str">
        <x:f>IF(C1104="","",MIN(MAX(0,D1104+E1104-F1104),SUMIFS(SONDERZAHLUNGEN!$E$9:$E$128,SONDERZAHLUNGEN!$B$9:$B$128,C1104,SONDERZAHLUNGEN!$C$9:$C$128,A1104,SONDERZAHLUNGEN!$H$9:$H$128,"OK",SONDERZAHLUNGEN!$F$9:$F$128,"Ja")))</x:f>
      </x:c>
      <x:c r="H1104" s="88" t="str">
        <x:f>IF(C1104="","",MIN(MAX(0,D1104+E1104-F1104-G1104),MAX(0,IF(MONATSBUDGET!$C$62="",0,MONATSBUDGET!$C$62)-SUM(F1100:F1119)-SUM(H1100:H1103))))</x:f>
      </x:c>
      <x:c r="I1104" s="88" t="str">
        <x:f>IF(C1104="","",MAX(0,ROUND(D1104+E1104-F1104-G1104-H1104,2)))</x:f>
      </x:c>
      <x:c r="J1104" s="88" t="str">
        <x:f>IF(C1104="","",F1104+G1104+H1104)</x:f>
      </x:c>
      <x:c r="K1104" s="88" t="str">
        <x:f>IF(C1104="","",MAX(0,SUMIFS(SONDERZAHLUNGEN!$E$9:$E$128,SONDERZAHLUNGEN!$B$9:$B$128,C1104,SONDERZAHLUNGEN!$C$9:$C$128,A1104,SONDERZAHLUNGEN!$H$9:$H$128,"OK",SONDERZAHLUNGEN!$F$9:$F$128,"Ja")-G1104))</x:f>
      </x:c>
    </x:row>
    <x:row r="1105" ht="19" customHeight="1">
      <x:c r="A1105" s="90" t="n">
        <x:f>MONATSBUDGET!$A$62</x:f>
        <x:v>47880</x:v>
      </x:c>
      <x:c r="B1105" t="n">
        <x:f>6</x:f>
        <x:v>6</x:v>
      </x:c>
      <x:c r="C1105" t="str">
        <x:f>IF($N$14="","",$N$14)</x:f>
      </x:c>
      <x:c r="D1105" s="88" t="str">
        <x:f>IF(C1105="","",I1085)</x:f>
      </x:c>
      <x:c r="E1105" s="88" t="str">
        <x:f>IF(C1105="","",ROUND(D1105*$P$14/12,2))</x:f>
      </x:c>
      <x:c r="F1105" s="88" t="str">
        <x:f>IF(C1105="","",MIN(D1105+E1105,$Q$14))</x:f>
      </x:c>
      <x:c r="G1105" s="88" t="str">
        <x:f>IF(C1105="","",MIN(MAX(0,D1105+E1105-F1105),SUMIFS(SONDERZAHLUNGEN!$E$9:$E$128,SONDERZAHLUNGEN!$B$9:$B$128,C1105,SONDERZAHLUNGEN!$C$9:$C$128,A1105,SONDERZAHLUNGEN!$H$9:$H$128,"OK",SONDERZAHLUNGEN!$F$9:$F$128,"Ja")))</x:f>
      </x:c>
      <x:c r="H1105" s="88" t="str">
        <x:f>IF(C1105="","",MIN(MAX(0,D1105+E1105-F1105-G1105),MAX(0,IF(MONATSBUDGET!$C$62="",0,MONATSBUDGET!$C$62)-SUM(F1100:F1119)-SUM(H1100:H1104))))</x:f>
      </x:c>
      <x:c r="I1105" s="88" t="str">
        <x:f>IF(C1105="","",MAX(0,ROUND(D1105+E1105-F1105-G1105-H1105,2)))</x:f>
      </x:c>
      <x:c r="J1105" s="88" t="str">
        <x:f>IF(C1105="","",F1105+G1105+H1105)</x:f>
      </x:c>
      <x:c r="K1105" s="88" t="str">
        <x:f>IF(C1105="","",MAX(0,SUMIFS(SONDERZAHLUNGEN!$E$9:$E$128,SONDERZAHLUNGEN!$B$9:$B$128,C1105,SONDERZAHLUNGEN!$C$9:$C$128,A1105,SONDERZAHLUNGEN!$H$9:$H$128,"OK",SONDERZAHLUNGEN!$F$9:$F$128,"Ja")-G1105))</x:f>
      </x:c>
    </x:row>
    <x:row r="1106" ht="19" customHeight="1">
      <x:c r="A1106" s="90" t="n">
        <x:f>MONATSBUDGET!$A$62</x:f>
        <x:v>47880</x:v>
      </x:c>
      <x:c r="B1106" t="n">
        <x:f>7</x:f>
        <x:v>7</x:v>
      </x:c>
      <x:c r="C1106" t="str">
        <x:f>IF($N$15="","",$N$15)</x:f>
      </x:c>
      <x:c r="D1106" s="88" t="str">
        <x:f>IF(C1106="","",I1086)</x:f>
      </x:c>
      <x:c r="E1106" s="88" t="str">
        <x:f>IF(C1106="","",ROUND(D1106*$P$15/12,2))</x:f>
      </x:c>
      <x:c r="F1106" s="88" t="str">
        <x:f>IF(C1106="","",MIN(D1106+E1106,$Q$15))</x:f>
      </x:c>
      <x:c r="G1106" s="88" t="str">
        <x:f>IF(C1106="","",MIN(MAX(0,D1106+E1106-F1106),SUMIFS(SONDERZAHLUNGEN!$E$9:$E$128,SONDERZAHLUNGEN!$B$9:$B$128,C1106,SONDERZAHLUNGEN!$C$9:$C$128,A1106,SONDERZAHLUNGEN!$H$9:$H$128,"OK",SONDERZAHLUNGEN!$F$9:$F$128,"Ja")))</x:f>
      </x:c>
      <x:c r="H1106" s="88" t="str">
        <x:f>IF(C1106="","",MIN(MAX(0,D1106+E1106-F1106-G1106),MAX(0,IF(MONATSBUDGET!$C$62="",0,MONATSBUDGET!$C$62)-SUM(F1100:F1119)-SUM(H1100:H1105))))</x:f>
      </x:c>
      <x:c r="I1106" s="88" t="str">
        <x:f>IF(C1106="","",MAX(0,ROUND(D1106+E1106-F1106-G1106-H1106,2)))</x:f>
      </x:c>
      <x:c r="J1106" s="88" t="str">
        <x:f>IF(C1106="","",F1106+G1106+H1106)</x:f>
      </x:c>
      <x:c r="K1106" s="88" t="str">
        <x:f>IF(C1106="","",MAX(0,SUMIFS(SONDERZAHLUNGEN!$E$9:$E$128,SONDERZAHLUNGEN!$B$9:$B$128,C1106,SONDERZAHLUNGEN!$C$9:$C$128,A1106,SONDERZAHLUNGEN!$H$9:$H$128,"OK",SONDERZAHLUNGEN!$F$9:$F$128,"Ja")-G1106))</x:f>
      </x:c>
    </x:row>
    <x:row r="1107" ht="19" customHeight="1">
      <x:c r="A1107" s="90" t="n">
        <x:f>MONATSBUDGET!$A$62</x:f>
        <x:v>47880</x:v>
      </x:c>
      <x:c r="B1107" t="n">
        <x:f>8</x:f>
        <x:v>8</x:v>
      </x:c>
      <x:c r="C1107" t="str">
        <x:f>IF($N$16="","",$N$16)</x:f>
      </x:c>
      <x:c r="D1107" s="88" t="str">
        <x:f>IF(C1107="","",I1087)</x:f>
      </x:c>
      <x:c r="E1107" s="88" t="str">
        <x:f>IF(C1107="","",ROUND(D1107*$P$16/12,2))</x:f>
      </x:c>
      <x:c r="F1107" s="88" t="str">
        <x:f>IF(C1107="","",MIN(D1107+E1107,$Q$16))</x:f>
      </x:c>
      <x:c r="G1107" s="88" t="str">
        <x:f>IF(C1107="","",MIN(MAX(0,D1107+E1107-F1107),SUMIFS(SONDERZAHLUNGEN!$E$9:$E$128,SONDERZAHLUNGEN!$B$9:$B$128,C1107,SONDERZAHLUNGEN!$C$9:$C$128,A1107,SONDERZAHLUNGEN!$H$9:$H$128,"OK",SONDERZAHLUNGEN!$F$9:$F$128,"Ja")))</x:f>
      </x:c>
      <x:c r="H1107" s="88" t="str">
        <x:f>IF(C1107="","",MIN(MAX(0,D1107+E1107-F1107-G1107),MAX(0,IF(MONATSBUDGET!$C$62="",0,MONATSBUDGET!$C$62)-SUM(F1100:F1119)-SUM(H1100:H1106))))</x:f>
      </x:c>
      <x:c r="I1107" s="88" t="str">
        <x:f>IF(C1107="","",MAX(0,ROUND(D1107+E1107-F1107-G1107-H1107,2)))</x:f>
      </x:c>
      <x:c r="J1107" s="88" t="str">
        <x:f>IF(C1107="","",F1107+G1107+H1107)</x:f>
      </x:c>
      <x:c r="K1107" s="88" t="str">
        <x:f>IF(C1107="","",MAX(0,SUMIFS(SONDERZAHLUNGEN!$E$9:$E$128,SONDERZAHLUNGEN!$B$9:$B$128,C1107,SONDERZAHLUNGEN!$C$9:$C$128,A1107,SONDERZAHLUNGEN!$H$9:$H$128,"OK",SONDERZAHLUNGEN!$F$9:$F$128,"Ja")-G1107))</x:f>
      </x:c>
    </x:row>
    <x:row r="1108" ht="19" customHeight="1">
      <x:c r="A1108" s="90" t="n">
        <x:f>MONATSBUDGET!$A$62</x:f>
        <x:v>47880</x:v>
      </x:c>
      <x:c r="B1108" t="n">
        <x:f>9</x:f>
        <x:v>9</x:v>
      </x:c>
      <x:c r="C1108" t="str">
        <x:f>IF($N$17="","",$N$17)</x:f>
      </x:c>
      <x:c r="D1108" s="88" t="str">
        <x:f>IF(C1108="","",I1088)</x:f>
      </x:c>
      <x:c r="E1108" s="88" t="str">
        <x:f>IF(C1108="","",ROUND(D1108*$P$17/12,2))</x:f>
      </x:c>
      <x:c r="F1108" s="88" t="str">
        <x:f>IF(C1108="","",MIN(D1108+E1108,$Q$17))</x:f>
      </x:c>
      <x:c r="G1108" s="88" t="str">
        <x:f>IF(C1108="","",MIN(MAX(0,D1108+E1108-F1108),SUMIFS(SONDERZAHLUNGEN!$E$9:$E$128,SONDERZAHLUNGEN!$B$9:$B$128,C1108,SONDERZAHLUNGEN!$C$9:$C$128,A1108,SONDERZAHLUNGEN!$H$9:$H$128,"OK",SONDERZAHLUNGEN!$F$9:$F$128,"Ja")))</x:f>
      </x:c>
      <x:c r="H1108" s="88" t="str">
        <x:f>IF(C1108="","",MIN(MAX(0,D1108+E1108-F1108-G1108),MAX(0,IF(MONATSBUDGET!$C$62="",0,MONATSBUDGET!$C$62)-SUM(F1100:F1119)-SUM(H1100:H1107))))</x:f>
      </x:c>
      <x:c r="I1108" s="88" t="str">
        <x:f>IF(C1108="","",MAX(0,ROUND(D1108+E1108-F1108-G1108-H1108,2)))</x:f>
      </x:c>
      <x:c r="J1108" s="88" t="str">
        <x:f>IF(C1108="","",F1108+G1108+H1108)</x:f>
      </x:c>
      <x:c r="K1108" s="88" t="str">
        <x:f>IF(C1108="","",MAX(0,SUMIFS(SONDERZAHLUNGEN!$E$9:$E$128,SONDERZAHLUNGEN!$B$9:$B$128,C1108,SONDERZAHLUNGEN!$C$9:$C$128,A1108,SONDERZAHLUNGEN!$H$9:$H$128,"OK",SONDERZAHLUNGEN!$F$9:$F$128,"Ja")-G1108))</x:f>
      </x:c>
    </x:row>
    <x:row r="1109" ht="19" customHeight="1">
      <x:c r="A1109" s="90" t="n">
        <x:f>MONATSBUDGET!$A$62</x:f>
        <x:v>47880</x:v>
      </x:c>
      <x:c r="B1109" t="n">
        <x:f>10</x:f>
        <x:v>10</x:v>
      </x:c>
      <x:c r="C1109" t="str">
        <x:f>IF($N$18="","",$N$18)</x:f>
      </x:c>
      <x:c r="D1109" s="88" t="str">
        <x:f>IF(C1109="","",I1089)</x:f>
      </x:c>
      <x:c r="E1109" s="88" t="str">
        <x:f>IF(C1109="","",ROUND(D1109*$P$18/12,2))</x:f>
      </x:c>
      <x:c r="F1109" s="88" t="str">
        <x:f>IF(C1109="","",MIN(D1109+E1109,$Q$18))</x:f>
      </x:c>
      <x:c r="G1109" s="88" t="str">
        <x:f>IF(C1109="","",MIN(MAX(0,D1109+E1109-F1109),SUMIFS(SONDERZAHLUNGEN!$E$9:$E$128,SONDERZAHLUNGEN!$B$9:$B$128,C1109,SONDERZAHLUNGEN!$C$9:$C$128,A1109,SONDERZAHLUNGEN!$H$9:$H$128,"OK",SONDERZAHLUNGEN!$F$9:$F$128,"Ja")))</x:f>
      </x:c>
      <x:c r="H1109" s="88" t="str">
        <x:f>IF(C1109="","",MIN(MAX(0,D1109+E1109-F1109-G1109),MAX(0,IF(MONATSBUDGET!$C$62="",0,MONATSBUDGET!$C$62)-SUM(F1100:F1119)-SUM(H1100:H1108))))</x:f>
      </x:c>
      <x:c r="I1109" s="88" t="str">
        <x:f>IF(C1109="","",MAX(0,ROUND(D1109+E1109-F1109-G1109-H1109,2)))</x:f>
      </x:c>
      <x:c r="J1109" s="88" t="str">
        <x:f>IF(C1109="","",F1109+G1109+H1109)</x:f>
      </x:c>
      <x:c r="K1109" s="88" t="str">
        <x:f>IF(C1109="","",MAX(0,SUMIFS(SONDERZAHLUNGEN!$E$9:$E$128,SONDERZAHLUNGEN!$B$9:$B$128,C1109,SONDERZAHLUNGEN!$C$9:$C$128,A1109,SONDERZAHLUNGEN!$H$9:$H$128,"OK",SONDERZAHLUNGEN!$F$9:$F$128,"Ja")-G1109))</x:f>
      </x:c>
    </x:row>
    <x:row r="1110" ht="19" customHeight="1">
      <x:c r="A1110" s="90" t="n">
        <x:f>MONATSBUDGET!$A$62</x:f>
        <x:v>47880</x:v>
      </x:c>
      <x:c r="B1110" t="n">
        <x:f>11</x:f>
        <x:v>11</x:v>
      </x:c>
      <x:c r="C1110" t="str">
        <x:f>IF($N$19="","",$N$19)</x:f>
      </x:c>
      <x:c r="D1110" s="88" t="str">
        <x:f>IF(C1110="","",I1090)</x:f>
      </x:c>
      <x:c r="E1110" s="88" t="str">
        <x:f>IF(C1110="","",ROUND(D1110*$P$19/12,2))</x:f>
      </x:c>
      <x:c r="F1110" s="88" t="str">
        <x:f>IF(C1110="","",MIN(D1110+E1110,$Q$19))</x:f>
      </x:c>
      <x:c r="G1110" s="88" t="str">
        <x:f>IF(C1110="","",MIN(MAX(0,D1110+E1110-F1110),SUMIFS(SONDERZAHLUNGEN!$E$9:$E$128,SONDERZAHLUNGEN!$B$9:$B$128,C1110,SONDERZAHLUNGEN!$C$9:$C$128,A1110,SONDERZAHLUNGEN!$H$9:$H$128,"OK",SONDERZAHLUNGEN!$F$9:$F$128,"Ja")))</x:f>
      </x:c>
      <x:c r="H1110" s="88" t="str">
        <x:f>IF(C1110="","",MIN(MAX(0,D1110+E1110-F1110-G1110),MAX(0,IF(MONATSBUDGET!$C$62="",0,MONATSBUDGET!$C$62)-SUM(F1100:F1119)-SUM(H1100:H1109))))</x:f>
      </x:c>
      <x:c r="I1110" s="88" t="str">
        <x:f>IF(C1110="","",MAX(0,ROUND(D1110+E1110-F1110-G1110-H1110,2)))</x:f>
      </x:c>
      <x:c r="J1110" s="88" t="str">
        <x:f>IF(C1110="","",F1110+G1110+H1110)</x:f>
      </x:c>
      <x:c r="K1110" s="88" t="str">
        <x:f>IF(C1110="","",MAX(0,SUMIFS(SONDERZAHLUNGEN!$E$9:$E$128,SONDERZAHLUNGEN!$B$9:$B$128,C1110,SONDERZAHLUNGEN!$C$9:$C$128,A1110,SONDERZAHLUNGEN!$H$9:$H$128,"OK",SONDERZAHLUNGEN!$F$9:$F$128,"Ja")-G1110))</x:f>
      </x:c>
    </x:row>
    <x:row r="1111" ht="19" customHeight="1">
      <x:c r="A1111" s="90" t="n">
        <x:f>MONATSBUDGET!$A$62</x:f>
        <x:v>47880</x:v>
      </x:c>
      <x:c r="B1111" t="n">
        <x:f>12</x:f>
        <x:v>12</x:v>
      </x:c>
      <x:c r="C1111" t="str">
        <x:f>IF($N$20="","",$N$20)</x:f>
      </x:c>
      <x:c r="D1111" s="88" t="str">
        <x:f>IF(C1111="","",I1091)</x:f>
      </x:c>
      <x:c r="E1111" s="88" t="str">
        <x:f>IF(C1111="","",ROUND(D1111*$P$20/12,2))</x:f>
      </x:c>
      <x:c r="F1111" s="88" t="str">
        <x:f>IF(C1111="","",MIN(D1111+E1111,$Q$20))</x:f>
      </x:c>
      <x:c r="G1111" s="88" t="str">
        <x:f>IF(C1111="","",MIN(MAX(0,D1111+E1111-F1111),SUMIFS(SONDERZAHLUNGEN!$E$9:$E$128,SONDERZAHLUNGEN!$B$9:$B$128,C1111,SONDERZAHLUNGEN!$C$9:$C$128,A1111,SONDERZAHLUNGEN!$H$9:$H$128,"OK",SONDERZAHLUNGEN!$F$9:$F$128,"Ja")))</x:f>
      </x:c>
      <x:c r="H1111" s="88" t="str">
        <x:f>IF(C1111="","",MIN(MAX(0,D1111+E1111-F1111-G1111),MAX(0,IF(MONATSBUDGET!$C$62="",0,MONATSBUDGET!$C$62)-SUM(F1100:F1119)-SUM(H1100:H1110))))</x:f>
      </x:c>
      <x:c r="I1111" s="88" t="str">
        <x:f>IF(C1111="","",MAX(0,ROUND(D1111+E1111-F1111-G1111-H1111,2)))</x:f>
      </x:c>
      <x:c r="J1111" s="88" t="str">
        <x:f>IF(C1111="","",F1111+G1111+H1111)</x:f>
      </x:c>
      <x:c r="K1111" s="88" t="str">
        <x:f>IF(C1111="","",MAX(0,SUMIFS(SONDERZAHLUNGEN!$E$9:$E$128,SONDERZAHLUNGEN!$B$9:$B$128,C1111,SONDERZAHLUNGEN!$C$9:$C$128,A1111,SONDERZAHLUNGEN!$H$9:$H$128,"OK",SONDERZAHLUNGEN!$F$9:$F$128,"Ja")-G1111))</x:f>
      </x:c>
    </x:row>
    <x:row r="1112" ht="19" customHeight="1">
      <x:c r="A1112" s="90" t="n">
        <x:f>MONATSBUDGET!$A$62</x:f>
        <x:v>47880</x:v>
      </x:c>
      <x:c r="B1112" t="n">
        <x:f>13</x:f>
        <x:v>13</x:v>
      </x:c>
      <x:c r="C1112" t="str">
        <x:f>IF($N$21="","",$N$21)</x:f>
      </x:c>
      <x:c r="D1112" s="88" t="str">
        <x:f>IF(C1112="","",I1092)</x:f>
      </x:c>
      <x:c r="E1112" s="88" t="str">
        <x:f>IF(C1112="","",ROUND(D1112*$P$21/12,2))</x:f>
      </x:c>
      <x:c r="F1112" s="88" t="str">
        <x:f>IF(C1112="","",MIN(D1112+E1112,$Q$21))</x:f>
      </x:c>
      <x:c r="G1112" s="88" t="str">
        <x:f>IF(C1112="","",MIN(MAX(0,D1112+E1112-F1112),SUMIFS(SONDERZAHLUNGEN!$E$9:$E$128,SONDERZAHLUNGEN!$B$9:$B$128,C1112,SONDERZAHLUNGEN!$C$9:$C$128,A1112,SONDERZAHLUNGEN!$H$9:$H$128,"OK",SONDERZAHLUNGEN!$F$9:$F$128,"Ja")))</x:f>
      </x:c>
      <x:c r="H1112" s="88" t="str">
        <x:f>IF(C1112="","",MIN(MAX(0,D1112+E1112-F1112-G1112),MAX(0,IF(MONATSBUDGET!$C$62="",0,MONATSBUDGET!$C$62)-SUM(F1100:F1119)-SUM(H1100:H1111))))</x:f>
      </x:c>
      <x:c r="I1112" s="88" t="str">
        <x:f>IF(C1112="","",MAX(0,ROUND(D1112+E1112-F1112-G1112-H1112,2)))</x:f>
      </x:c>
      <x:c r="J1112" s="88" t="str">
        <x:f>IF(C1112="","",F1112+G1112+H1112)</x:f>
      </x:c>
      <x:c r="K1112" s="88" t="str">
        <x:f>IF(C1112="","",MAX(0,SUMIFS(SONDERZAHLUNGEN!$E$9:$E$128,SONDERZAHLUNGEN!$B$9:$B$128,C1112,SONDERZAHLUNGEN!$C$9:$C$128,A1112,SONDERZAHLUNGEN!$H$9:$H$128,"OK",SONDERZAHLUNGEN!$F$9:$F$128,"Ja")-G1112))</x:f>
      </x:c>
    </x:row>
    <x:row r="1113" ht="19" customHeight="1">
      <x:c r="A1113" s="90" t="n">
        <x:f>MONATSBUDGET!$A$62</x:f>
        <x:v>47880</x:v>
      </x:c>
      <x:c r="B1113" t="n">
        <x:f>14</x:f>
        <x:v>14</x:v>
      </x:c>
      <x:c r="C1113" t="str">
        <x:f>IF($N$22="","",$N$22)</x:f>
      </x:c>
      <x:c r="D1113" s="88" t="str">
        <x:f>IF(C1113="","",I1093)</x:f>
      </x:c>
      <x:c r="E1113" s="88" t="str">
        <x:f>IF(C1113="","",ROUND(D1113*$P$22/12,2))</x:f>
      </x:c>
      <x:c r="F1113" s="88" t="str">
        <x:f>IF(C1113="","",MIN(D1113+E1113,$Q$22))</x:f>
      </x:c>
      <x:c r="G1113" s="88" t="str">
        <x:f>IF(C1113="","",MIN(MAX(0,D1113+E1113-F1113),SUMIFS(SONDERZAHLUNGEN!$E$9:$E$128,SONDERZAHLUNGEN!$B$9:$B$128,C1113,SONDERZAHLUNGEN!$C$9:$C$128,A1113,SONDERZAHLUNGEN!$H$9:$H$128,"OK",SONDERZAHLUNGEN!$F$9:$F$128,"Ja")))</x:f>
      </x:c>
      <x:c r="H1113" s="88" t="str">
        <x:f>IF(C1113="","",MIN(MAX(0,D1113+E1113-F1113-G1113),MAX(0,IF(MONATSBUDGET!$C$62="",0,MONATSBUDGET!$C$62)-SUM(F1100:F1119)-SUM(H1100:H1112))))</x:f>
      </x:c>
      <x:c r="I1113" s="88" t="str">
        <x:f>IF(C1113="","",MAX(0,ROUND(D1113+E1113-F1113-G1113-H1113,2)))</x:f>
      </x:c>
      <x:c r="J1113" s="88" t="str">
        <x:f>IF(C1113="","",F1113+G1113+H1113)</x:f>
      </x:c>
      <x:c r="K1113" s="88" t="str">
        <x:f>IF(C1113="","",MAX(0,SUMIFS(SONDERZAHLUNGEN!$E$9:$E$128,SONDERZAHLUNGEN!$B$9:$B$128,C1113,SONDERZAHLUNGEN!$C$9:$C$128,A1113,SONDERZAHLUNGEN!$H$9:$H$128,"OK",SONDERZAHLUNGEN!$F$9:$F$128,"Ja")-G1113))</x:f>
      </x:c>
    </x:row>
    <x:row r="1114" ht="19" customHeight="1">
      <x:c r="A1114" s="90" t="n">
        <x:f>MONATSBUDGET!$A$62</x:f>
        <x:v>47880</x:v>
      </x:c>
      <x:c r="B1114" t="n">
        <x:f>15</x:f>
        <x:v>15</x:v>
      </x:c>
      <x:c r="C1114" t="str">
        <x:f>IF($N$23="","",$N$23)</x:f>
      </x:c>
      <x:c r="D1114" s="88" t="str">
        <x:f>IF(C1114="","",I1094)</x:f>
      </x:c>
      <x:c r="E1114" s="88" t="str">
        <x:f>IF(C1114="","",ROUND(D1114*$P$23/12,2))</x:f>
      </x:c>
      <x:c r="F1114" s="88" t="str">
        <x:f>IF(C1114="","",MIN(D1114+E1114,$Q$23))</x:f>
      </x:c>
      <x:c r="G1114" s="88" t="str">
        <x:f>IF(C1114="","",MIN(MAX(0,D1114+E1114-F1114),SUMIFS(SONDERZAHLUNGEN!$E$9:$E$128,SONDERZAHLUNGEN!$B$9:$B$128,C1114,SONDERZAHLUNGEN!$C$9:$C$128,A1114,SONDERZAHLUNGEN!$H$9:$H$128,"OK",SONDERZAHLUNGEN!$F$9:$F$128,"Ja")))</x:f>
      </x:c>
      <x:c r="H1114" s="88" t="str">
        <x:f>IF(C1114="","",MIN(MAX(0,D1114+E1114-F1114-G1114),MAX(0,IF(MONATSBUDGET!$C$62="",0,MONATSBUDGET!$C$62)-SUM(F1100:F1119)-SUM(H1100:H1113))))</x:f>
      </x:c>
      <x:c r="I1114" s="88" t="str">
        <x:f>IF(C1114="","",MAX(0,ROUND(D1114+E1114-F1114-G1114-H1114,2)))</x:f>
      </x:c>
      <x:c r="J1114" s="88" t="str">
        <x:f>IF(C1114="","",F1114+G1114+H1114)</x:f>
      </x:c>
      <x:c r="K1114" s="88" t="str">
        <x:f>IF(C1114="","",MAX(0,SUMIFS(SONDERZAHLUNGEN!$E$9:$E$128,SONDERZAHLUNGEN!$B$9:$B$128,C1114,SONDERZAHLUNGEN!$C$9:$C$128,A1114,SONDERZAHLUNGEN!$H$9:$H$128,"OK",SONDERZAHLUNGEN!$F$9:$F$128,"Ja")-G1114))</x:f>
      </x:c>
    </x:row>
    <x:row r="1115" ht="19" customHeight="1">
      <x:c r="A1115" s="90" t="n">
        <x:f>MONATSBUDGET!$A$62</x:f>
        <x:v>47880</x:v>
      </x:c>
      <x:c r="B1115" t="n">
        <x:f>16</x:f>
        <x:v>16</x:v>
      </x:c>
      <x:c r="C1115" t="str">
        <x:f>IF($N$24="","",$N$24)</x:f>
      </x:c>
      <x:c r="D1115" s="88" t="str">
        <x:f>IF(C1115="","",I1095)</x:f>
      </x:c>
      <x:c r="E1115" s="88" t="str">
        <x:f>IF(C1115="","",ROUND(D1115*$P$24/12,2))</x:f>
      </x:c>
      <x:c r="F1115" s="88" t="str">
        <x:f>IF(C1115="","",MIN(D1115+E1115,$Q$24))</x:f>
      </x:c>
      <x:c r="G1115" s="88" t="str">
        <x:f>IF(C1115="","",MIN(MAX(0,D1115+E1115-F1115),SUMIFS(SONDERZAHLUNGEN!$E$9:$E$128,SONDERZAHLUNGEN!$B$9:$B$128,C1115,SONDERZAHLUNGEN!$C$9:$C$128,A1115,SONDERZAHLUNGEN!$H$9:$H$128,"OK",SONDERZAHLUNGEN!$F$9:$F$128,"Ja")))</x:f>
      </x:c>
      <x:c r="H1115" s="88" t="str">
        <x:f>IF(C1115="","",MIN(MAX(0,D1115+E1115-F1115-G1115),MAX(0,IF(MONATSBUDGET!$C$62="",0,MONATSBUDGET!$C$62)-SUM(F1100:F1119)-SUM(H1100:H1114))))</x:f>
      </x:c>
      <x:c r="I1115" s="88" t="str">
        <x:f>IF(C1115="","",MAX(0,ROUND(D1115+E1115-F1115-G1115-H1115,2)))</x:f>
      </x:c>
      <x:c r="J1115" s="88" t="str">
        <x:f>IF(C1115="","",F1115+G1115+H1115)</x:f>
      </x:c>
      <x:c r="K1115" s="88" t="str">
        <x:f>IF(C1115="","",MAX(0,SUMIFS(SONDERZAHLUNGEN!$E$9:$E$128,SONDERZAHLUNGEN!$B$9:$B$128,C1115,SONDERZAHLUNGEN!$C$9:$C$128,A1115,SONDERZAHLUNGEN!$H$9:$H$128,"OK",SONDERZAHLUNGEN!$F$9:$F$128,"Ja")-G1115))</x:f>
      </x:c>
    </x:row>
    <x:row r="1116" ht="19" customHeight="1">
      <x:c r="A1116" s="90" t="n">
        <x:f>MONATSBUDGET!$A$62</x:f>
        <x:v>47880</x:v>
      </x:c>
      <x:c r="B1116" t="n">
        <x:f>17</x:f>
        <x:v>17</x:v>
      </x:c>
      <x:c r="C1116" t="str">
        <x:f>IF($N$25="","",$N$25)</x:f>
      </x:c>
      <x:c r="D1116" s="88" t="str">
        <x:f>IF(C1116="","",I1096)</x:f>
      </x:c>
      <x:c r="E1116" s="88" t="str">
        <x:f>IF(C1116="","",ROUND(D1116*$P$25/12,2))</x:f>
      </x:c>
      <x:c r="F1116" s="88" t="str">
        <x:f>IF(C1116="","",MIN(D1116+E1116,$Q$25))</x:f>
      </x:c>
      <x:c r="G1116" s="88" t="str">
        <x:f>IF(C1116="","",MIN(MAX(0,D1116+E1116-F1116),SUMIFS(SONDERZAHLUNGEN!$E$9:$E$128,SONDERZAHLUNGEN!$B$9:$B$128,C1116,SONDERZAHLUNGEN!$C$9:$C$128,A1116,SONDERZAHLUNGEN!$H$9:$H$128,"OK",SONDERZAHLUNGEN!$F$9:$F$128,"Ja")))</x:f>
      </x:c>
      <x:c r="H1116" s="88" t="str">
        <x:f>IF(C1116="","",MIN(MAX(0,D1116+E1116-F1116-G1116),MAX(0,IF(MONATSBUDGET!$C$62="",0,MONATSBUDGET!$C$62)-SUM(F1100:F1119)-SUM(H1100:H1115))))</x:f>
      </x:c>
      <x:c r="I1116" s="88" t="str">
        <x:f>IF(C1116="","",MAX(0,ROUND(D1116+E1116-F1116-G1116-H1116,2)))</x:f>
      </x:c>
      <x:c r="J1116" s="88" t="str">
        <x:f>IF(C1116="","",F1116+G1116+H1116)</x:f>
      </x:c>
      <x:c r="K1116" s="88" t="str">
        <x:f>IF(C1116="","",MAX(0,SUMIFS(SONDERZAHLUNGEN!$E$9:$E$128,SONDERZAHLUNGEN!$B$9:$B$128,C1116,SONDERZAHLUNGEN!$C$9:$C$128,A1116,SONDERZAHLUNGEN!$H$9:$H$128,"OK",SONDERZAHLUNGEN!$F$9:$F$128,"Ja")-G1116))</x:f>
      </x:c>
    </x:row>
    <x:row r="1117" ht="19" customHeight="1">
      <x:c r="A1117" s="90" t="n">
        <x:f>MONATSBUDGET!$A$62</x:f>
        <x:v>47880</x:v>
      </x:c>
      <x:c r="B1117" t="n">
        <x:f>18</x:f>
        <x:v>18</x:v>
      </x:c>
      <x:c r="C1117" t="str">
        <x:f>IF($N$26="","",$N$26)</x:f>
      </x:c>
      <x:c r="D1117" s="88" t="str">
        <x:f>IF(C1117="","",I1097)</x:f>
      </x:c>
      <x:c r="E1117" s="88" t="str">
        <x:f>IF(C1117="","",ROUND(D1117*$P$26/12,2))</x:f>
      </x:c>
      <x:c r="F1117" s="88" t="str">
        <x:f>IF(C1117="","",MIN(D1117+E1117,$Q$26))</x:f>
      </x:c>
      <x:c r="G1117" s="88" t="str">
        <x:f>IF(C1117="","",MIN(MAX(0,D1117+E1117-F1117),SUMIFS(SONDERZAHLUNGEN!$E$9:$E$128,SONDERZAHLUNGEN!$B$9:$B$128,C1117,SONDERZAHLUNGEN!$C$9:$C$128,A1117,SONDERZAHLUNGEN!$H$9:$H$128,"OK",SONDERZAHLUNGEN!$F$9:$F$128,"Ja")))</x:f>
      </x:c>
      <x:c r="H1117" s="88" t="str">
        <x:f>IF(C1117="","",MIN(MAX(0,D1117+E1117-F1117-G1117),MAX(0,IF(MONATSBUDGET!$C$62="",0,MONATSBUDGET!$C$62)-SUM(F1100:F1119)-SUM(H1100:H1116))))</x:f>
      </x:c>
      <x:c r="I1117" s="88" t="str">
        <x:f>IF(C1117="","",MAX(0,ROUND(D1117+E1117-F1117-G1117-H1117,2)))</x:f>
      </x:c>
      <x:c r="J1117" s="88" t="str">
        <x:f>IF(C1117="","",F1117+G1117+H1117)</x:f>
      </x:c>
      <x:c r="K1117" s="88" t="str">
        <x:f>IF(C1117="","",MAX(0,SUMIFS(SONDERZAHLUNGEN!$E$9:$E$128,SONDERZAHLUNGEN!$B$9:$B$128,C1117,SONDERZAHLUNGEN!$C$9:$C$128,A1117,SONDERZAHLUNGEN!$H$9:$H$128,"OK",SONDERZAHLUNGEN!$F$9:$F$128,"Ja")-G1117))</x:f>
      </x:c>
    </x:row>
    <x:row r="1118" ht="19" customHeight="1">
      <x:c r="A1118" s="90" t="n">
        <x:f>MONATSBUDGET!$A$62</x:f>
        <x:v>47880</x:v>
      </x:c>
      <x:c r="B1118" t="n">
        <x:f>19</x:f>
        <x:v>19</x:v>
      </x:c>
      <x:c r="C1118" t="str">
        <x:f>IF($N$27="","",$N$27)</x:f>
      </x:c>
      <x:c r="D1118" s="88" t="str">
        <x:f>IF(C1118="","",I1098)</x:f>
      </x:c>
      <x:c r="E1118" s="88" t="str">
        <x:f>IF(C1118="","",ROUND(D1118*$P$27/12,2))</x:f>
      </x:c>
      <x:c r="F1118" s="88" t="str">
        <x:f>IF(C1118="","",MIN(D1118+E1118,$Q$27))</x:f>
      </x:c>
      <x:c r="G1118" s="88" t="str">
        <x:f>IF(C1118="","",MIN(MAX(0,D1118+E1118-F1118),SUMIFS(SONDERZAHLUNGEN!$E$9:$E$128,SONDERZAHLUNGEN!$B$9:$B$128,C1118,SONDERZAHLUNGEN!$C$9:$C$128,A1118,SONDERZAHLUNGEN!$H$9:$H$128,"OK",SONDERZAHLUNGEN!$F$9:$F$128,"Ja")))</x:f>
      </x:c>
      <x:c r="H1118" s="88" t="str">
        <x:f>IF(C1118="","",MIN(MAX(0,D1118+E1118-F1118-G1118),MAX(0,IF(MONATSBUDGET!$C$62="",0,MONATSBUDGET!$C$62)-SUM(F1100:F1119)-SUM(H1100:H1117))))</x:f>
      </x:c>
      <x:c r="I1118" s="88" t="str">
        <x:f>IF(C1118="","",MAX(0,ROUND(D1118+E1118-F1118-G1118-H1118,2)))</x:f>
      </x:c>
      <x:c r="J1118" s="88" t="str">
        <x:f>IF(C1118="","",F1118+G1118+H1118)</x:f>
      </x:c>
      <x:c r="K1118" s="88" t="str">
        <x:f>IF(C1118="","",MAX(0,SUMIFS(SONDERZAHLUNGEN!$E$9:$E$128,SONDERZAHLUNGEN!$B$9:$B$128,C1118,SONDERZAHLUNGEN!$C$9:$C$128,A1118,SONDERZAHLUNGEN!$H$9:$H$128,"OK",SONDERZAHLUNGEN!$F$9:$F$128,"Ja")-G1118))</x:f>
      </x:c>
    </x:row>
    <x:row r="1119" ht="19" customHeight="1">
      <x:c r="A1119" s="90" t="n">
        <x:f>MONATSBUDGET!$A$62</x:f>
        <x:v>47880</x:v>
      </x:c>
      <x:c r="B1119" t="n">
        <x:f>20</x:f>
        <x:v>20</x:v>
      </x:c>
      <x:c r="C1119" t="str">
        <x:f>IF($N$28="","",$N$28)</x:f>
      </x:c>
      <x:c r="D1119" s="88" t="str">
        <x:f>IF(C1119="","",I1099)</x:f>
      </x:c>
      <x:c r="E1119" s="88" t="str">
        <x:f>IF(C1119="","",ROUND(D1119*$P$28/12,2))</x:f>
      </x:c>
      <x:c r="F1119" s="88" t="str">
        <x:f>IF(C1119="","",MIN(D1119+E1119,$Q$28))</x:f>
      </x:c>
      <x:c r="G1119" s="88" t="str">
        <x:f>IF(C1119="","",MIN(MAX(0,D1119+E1119-F1119),SUMIFS(SONDERZAHLUNGEN!$E$9:$E$128,SONDERZAHLUNGEN!$B$9:$B$128,C1119,SONDERZAHLUNGEN!$C$9:$C$128,A1119,SONDERZAHLUNGEN!$H$9:$H$128,"OK",SONDERZAHLUNGEN!$F$9:$F$128,"Ja")))</x:f>
      </x:c>
      <x:c r="H1119" s="88" t="str">
        <x:f>IF(C1119="","",MIN(MAX(0,D1119+E1119-F1119-G1119),MAX(0,IF(MONATSBUDGET!$C$62="",0,MONATSBUDGET!$C$62)-SUM(F1100:F1119)-SUM(H1100:H1118))))</x:f>
      </x:c>
      <x:c r="I1119" s="88" t="str">
        <x:f>IF(C1119="","",MAX(0,ROUND(D1119+E1119-F1119-G1119-H1119,2)))</x:f>
      </x:c>
      <x:c r="J1119" s="88" t="str">
        <x:f>IF(C1119="","",F1119+G1119+H1119)</x:f>
      </x:c>
      <x:c r="K1119" s="88" t="str">
        <x:f>IF(C1119="","",MAX(0,SUMIFS(SONDERZAHLUNGEN!$E$9:$E$128,SONDERZAHLUNGEN!$B$9:$B$128,C1119,SONDERZAHLUNGEN!$C$9:$C$128,A1119,SONDERZAHLUNGEN!$H$9:$H$128,"OK",SONDERZAHLUNGEN!$F$9:$F$128,"Ja")-G1119))</x:f>
      </x:c>
    </x:row>
    <x:row r="1120" ht="19" customHeight="1">
      <x:c r="A1120" s="90" t="n">
        <x:f>MONATSBUDGET!$A$63</x:f>
        <x:v>47908</x:v>
      </x:c>
      <x:c r="B1120" t="n">
        <x:f>1</x:f>
        <x:v>1</x:v>
      </x:c>
      <x:c r="C1120" t="str">
        <x:f>IF($N$9="","",$N$9)</x:f>
      </x:c>
      <x:c r="D1120" s="88" t="str">
        <x:f>IF(C1120="","",I1100)</x:f>
      </x:c>
      <x:c r="E1120" s="88" t="str">
        <x:f>IF(C1120="","",ROUND(D1120*$P$9/12,2))</x:f>
      </x:c>
      <x:c r="F1120" s="88" t="str">
        <x:f>IF(C1120="","",MIN(D1120+E1120,$Q$9))</x:f>
      </x:c>
      <x:c r="G1120" s="88" t="str">
        <x:f>IF(C1120="","",MIN(MAX(0,D1120+E1120-F1120),SUMIFS(SONDERZAHLUNGEN!$E$9:$E$128,SONDERZAHLUNGEN!$B$9:$B$128,C1120,SONDERZAHLUNGEN!$C$9:$C$128,A1120,SONDERZAHLUNGEN!$H$9:$H$128,"OK",SONDERZAHLUNGEN!$F$9:$F$128,"Ja")))</x:f>
      </x:c>
      <x:c r="H1120" s="88" t="str">
        <x:f>IF(C1120="","",MIN(MAX(0,D1120+E1120-F1120-G1120),MAX(0,IF(MONATSBUDGET!$C$63="",0,MONATSBUDGET!$C$63)-SUM(F1120:F1139)-0)))</x:f>
      </x:c>
      <x:c r="I1120" s="88" t="str">
        <x:f>IF(C1120="","",MAX(0,ROUND(D1120+E1120-F1120-G1120-H1120,2)))</x:f>
      </x:c>
      <x:c r="J1120" s="88" t="str">
        <x:f>IF(C1120="","",F1120+G1120+H1120)</x:f>
      </x:c>
      <x:c r="K1120" s="88" t="str">
        <x:f>IF(C1120="","",MAX(0,SUMIFS(SONDERZAHLUNGEN!$E$9:$E$128,SONDERZAHLUNGEN!$B$9:$B$128,C1120,SONDERZAHLUNGEN!$C$9:$C$128,A1120,SONDERZAHLUNGEN!$H$9:$H$128,"OK",SONDERZAHLUNGEN!$F$9:$F$128,"Ja")-G1120))</x:f>
      </x:c>
    </x:row>
    <x:row r="1121" ht="19" customHeight="1">
      <x:c r="A1121" s="90" t="n">
        <x:f>MONATSBUDGET!$A$63</x:f>
        <x:v>47908</x:v>
      </x:c>
      <x:c r="B1121" t="n">
        <x:f>2</x:f>
        <x:v>2</x:v>
      </x:c>
      <x:c r="C1121" t="str">
        <x:f>IF($N$10="","",$N$10)</x:f>
      </x:c>
      <x:c r="D1121" s="88" t="str">
        <x:f>IF(C1121="","",I1101)</x:f>
      </x:c>
      <x:c r="E1121" s="88" t="str">
        <x:f>IF(C1121="","",ROUND(D1121*$P$10/12,2))</x:f>
      </x:c>
      <x:c r="F1121" s="88" t="str">
        <x:f>IF(C1121="","",MIN(D1121+E1121,$Q$10))</x:f>
      </x:c>
      <x:c r="G1121" s="88" t="str">
        <x:f>IF(C1121="","",MIN(MAX(0,D1121+E1121-F1121),SUMIFS(SONDERZAHLUNGEN!$E$9:$E$128,SONDERZAHLUNGEN!$B$9:$B$128,C1121,SONDERZAHLUNGEN!$C$9:$C$128,A1121,SONDERZAHLUNGEN!$H$9:$H$128,"OK",SONDERZAHLUNGEN!$F$9:$F$128,"Ja")))</x:f>
      </x:c>
      <x:c r="H1121" s="88" t="str">
        <x:f>IF(C1121="","",MIN(MAX(0,D1121+E1121-F1121-G1121),MAX(0,IF(MONATSBUDGET!$C$63="",0,MONATSBUDGET!$C$63)-SUM(F1120:F1139)-SUM(H1120:H1120))))</x:f>
      </x:c>
      <x:c r="I1121" s="88" t="str">
        <x:f>IF(C1121="","",MAX(0,ROUND(D1121+E1121-F1121-G1121-H1121,2)))</x:f>
      </x:c>
      <x:c r="J1121" s="88" t="str">
        <x:f>IF(C1121="","",F1121+G1121+H1121)</x:f>
      </x:c>
      <x:c r="K1121" s="88" t="str">
        <x:f>IF(C1121="","",MAX(0,SUMIFS(SONDERZAHLUNGEN!$E$9:$E$128,SONDERZAHLUNGEN!$B$9:$B$128,C1121,SONDERZAHLUNGEN!$C$9:$C$128,A1121,SONDERZAHLUNGEN!$H$9:$H$128,"OK",SONDERZAHLUNGEN!$F$9:$F$128,"Ja")-G1121))</x:f>
      </x:c>
    </x:row>
    <x:row r="1122" ht="19" customHeight="1">
      <x:c r="A1122" s="90" t="n">
        <x:f>MONATSBUDGET!$A$63</x:f>
        <x:v>47908</x:v>
      </x:c>
      <x:c r="B1122" t="n">
        <x:f>3</x:f>
        <x:v>3</x:v>
      </x:c>
      <x:c r="C1122" t="str">
        <x:f>IF($N$11="","",$N$11)</x:f>
      </x:c>
      <x:c r="D1122" s="88" t="str">
        <x:f>IF(C1122="","",I1102)</x:f>
      </x:c>
      <x:c r="E1122" s="88" t="str">
        <x:f>IF(C1122="","",ROUND(D1122*$P$11/12,2))</x:f>
      </x:c>
      <x:c r="F1122" s="88" t="str">
        <x:f>IF(C1122="","",MIN(D1122+E1122,$Q$11))</x:f>
      </x:c>
      <x:c r="G1122" s="88" t="str">
        <x:f>IF(C1122="","",MIN(MAX(0,D1122+E1122-F1122),SUMIFS(SONDERZAHLUNGEN!$E$9:$E$128,SONDERZAHLUNGEN!$B$9:$B$128,C1122,SONDERZAHLUNGEN!$C$9:$C$128,A1122,SONDERZAHLUNGEN!$H$9:$H$128,"OK",SONDERZAHLUNGEN!$F$9:$F$128,"Ja")))</x:f>
      </x:c>
      <x:c r="H1122" s="88" t="str">
        <x:f>IF(C1122="","",MIN(MAX(0,D1122+E1122-F1122-G1122),MAX(0,IF(MONATSBUDGET!$C$63="",0,MONATSBUDGET!$C$63)-SUM(F1120:F1139)-SUM(H1120:H1121))))</x:f>
      </x:c>
      <x:c r="I1122" s="88" t="str">
        <x:f>IF(C1122="","",MAX(0,ROUND(D1122+E1122-F1122-G1122-H1122,2)))</x:f>
      </x:c>
      <x:c r="J1122" s="88" t="str">
        <x:f>IF(C1122="","",F1122+G1122+H1122)</x:f>
      </x:c>
      <x:c r="K1122" s="88" t="str">
        <x:f>IF(C1122="","",MAX(0,SUMIFS(SONDERZAHLUNGEN!$E$9:$E$128,SONDERZAHLUNGEN!$B$9:$B$128,C1122,SONDERZAHLUNGEN!$C$9:$C$128,A1122,SONDERZAHLUNGEN!$H$9:$H$128,"OK",SONDERZAHLUNGEN!$F$9:$F$128,"Ja")-G1122))</x:f>
      </x:c>
    </x:row>
    <x:row r="1123" ht="19" customHeight="1">
      <x:c r="A1123" s="90" t="n">
        <x:f>MONATSBUDGET!$A$63</x:f>
        <x:v>47908</x:v>
      </x:c>
      <x:c r="B1123" t="n">
        <x:f>4</x:f>
        <x:v>4</x:v>
      </x:c>
      <x:c r="C1123" t="str">
        <x:f>IF($N$12="","",$N$12)</x:f>
      </x:c>
      <x:c r="D1123" s="88" t="str">
        <x:f>IF(C1123="","",I1103)</x:f>
      </x:c>
      <x:c r="E1123" s="88" t="str">
        <x:f>IF(C1123="","",ROUND(D1123*$P$12/12,2))</x:f>
      </x:c>
      <x:c r="F1123" s="88" t="str">
        <x:f>IF(C1123="","",MIN(D1123+E1123,$Q$12))</x:f>
      </x:c>
      <x:c r="G1123" s="88" t="str">
        <x:f>IF(C1123="","",MIN(MAX(0,D1123+E1123-F1123),SUMIFS(SONDERZAHLUNGEN!$E$9:$E$128,SONDERZAHLUNGEN!$B$9:$B$128,C1123,SONDERZAHLUNGEN!$C$9:$C$128,A1123,SONDERZAHLUNGEN!$H$9:$H$128,"OK",SONDERZAHLUNGEN!$F$9:$F$128,"Ja")))</x:f>
      </x:c>
      <x:c r="H1123" s="88" t="str">
        <x:f>IF(C1123="","",MIN(MAX(0,D1123+E1123-F1123-G1123),MAX(0,IF(MONATSBUDGET!$C$63="",0,MONATSBUDGET!$C$63)-SUM(F1120:F1139)-SUM(H1120:H1122))))</x:f>
      </x:c>
      <x:c r="I1123" s="88" t="str">
        <x:f>IF(C1123="","",MAX(0,ROUND(D1123+E1123-F1123-G1123-H1123,2)))</x:f>
      </x:c>
      <x:c r="J1123" s="88" t="str">
        <x:f>IF(C1123="","",F1123+G1123+H1123)</x:f>
      </x:c>
      <x:c r="K1123" s="88" t="str">
        <x:f>IF(C1123="","",MAX(0,SUMIFS(SONDERZAHLUNGEN!$E$9:$E$128,SONDERZAHLUNGEN!$B$9:$B$128,C1123,SONDERZAHLUNGEN!$C$9:$C$128,A1123,SONDERZAHLUNGEN!$H$9:$H$128,"OK",SONDERZAHLUNGEN!$F$9:$F$128,"Ja")-G1123))</x:f>
      </x:c>
    </x:row>
    <x:row r="1124" ht="19" customHeight="1">
      <x:c r="A1124" s="90" t="n">
        <x:f>MONATSBUDGET!$A$63</x:f>
        <x:v>47908</x:v>
      </x:c>
      <x:c r="B1124" t="n">
        <x:f>5</x:f>
        <x:v>5</x:v>
      </x:c>
      <x:c r="C1124" t="str">
        <x:f>IF($N$13="","",$N$13)</x:f>
      </x:c>
      <x:c r="D1124" s="88" t="str">
        <x:f>IF(C1124="","",I1104)</x:f>
      </x:c>
      <x:c r="E1124" s="88" t="str">
        <x:f>IF(C1124="","",ROUND(D1124*$P$13/12,2))</x:f>
      </x:c>
      <x:c r="F1124" s="88" t="str">
        <x:f>IF(C1124="","",MIN(D1124+E1124,$Q$13))</x:f>
      </x:c>
      <x:c r="G1124" s="88" t="str">
        <x:f>IF(C1124="","",MIN(MAX(0,D1124+E1124-F1124),SUMIFS(SONDERZAHLUNGEN!$E$9:$E$128,SONDERZAHLUNGEN!$B$9:$B$128,C1124,SONDERZAHLUNGEN!$C$9:$C$128,A1124,SONDERZAHLUNGEN!$H$9:$H$128,"OK",SONDERZAHLUNGEN!$F$9:$F$128,"Ja")))</x:f>
      </x:c>
      <x:c r="H1124" s="88" t="str">
        <x:f>IF(C1124="","",MIN(MAX(0,D1124+E1124-F1124-G1124),MAX(0,IF(MONATSBUDGET!$C$63="",0,MONATSBUDGET!$C$63)-SUM(F1120:F1139)-SUM(H1120:H1123))))</x:f>
      </x:c>
      <x:c r="I1124" s="88" t="str">
        <x:f>IF(C1124="","",MAX(0,ROUND(D1124+E1124-F1124-G1124-H1124,2)))</x:f>
      </x:c>
      <x:c r="J1124" s="88" t="str">
        <x:f>IF(C1124="","",F1124+G1124+H1124)</x:f>
      </x:c>
      <x:c r="K1124" s="88" t="str">
        <x:f>IF(C1124="","",MAX(0,SUMIFS(SONDERZAHLUNGEN!$E$9:$E$128,SONDERZAHLUNGEN!$B$9:$B$128,C1124,SONDERZAHLUNGEN!$C$9:$C$128,A1124,SONDERZAHLUNGEN!$H$9:$H$128,"OK",SONDERZAHLUNGEN!$F$9:$F$128,"Ja")-G1124))</x:f>
      </x:c>
    </x:row>
    <x:row r="1125" ht="19" customHeight="1">
      <x:c r="A1125" s="90" t="n">
        <x:f>MONATSBUDGET!$A$63</x:f>
        <x:v>47908</x:v>
      </x:c>
      <x:c r="B1125" t="n">
        <x:f>6</x:f>
        <x:v>6</x:v>
      </x:c>
      <x:c r="C1125" t="str">
        <x:f>IF($N$14="","",$N$14)</x:f>
      </x:c>
      <x:c r="D1125" s="88" t="str">
        <x:f>IF(C1125="","",I1105)</x:f>
      </x:c>
      <x:c r="E1125" s="88" t="str">
        <x:f>IF(C1125="","",ROUND(D1125*$P$14/12,2))</x:f>
      </x:c>
      <x:c r="F1125" s="88" t="str">
        <x:f>IF(C1125="","",MIN(D1125+E1125,$Q$14))</x:f>
      </x:c>
      <x:c r="G1125" s="88" t="str">
        <x:f>IF(C1125="","",MIN(MAX(0,D1125+E1125-F1125),SUMIFS(SONDERZAHLUNGEN!$E$9:$E$128,SONDERZAHLUNGEN!$B$9:$B$128,C1125,SONDERZAHLUNGEN!$C$9:$C$128,A1125,SONDERZAHLUNGEN!$H$9:$H$128,"OK",SONDERZAHLUNGEN!$F$9:$F$128,"Ja")))</x:f>
      </x:c>
      <x:c r="H1125" s="88" t="str">
        <x:f>IF(C1125="","",MIN(MAX(0,D1125+E1125-F1125-G1125),MAX(0,IF(MONATSBUDGET!$C$63="",0,MONATSBUDGET!$C$63)-SUM(F1120:F1139)-SUM(H1120:H1124))))</x:f>
      </x:c>
      <x:c r="I1125" s="88" t="str">
        <x:f>IF(C1125="","",MAX(0,ROUND(D1125+E1125-F1125-G1125-H1125,2)))</x:f>
      </x:c>
      <x:c r="J1125" s="88" t="str">
        <x:f>IF(C1125="","",F1125+G1125+H1125)</x:f>
      </x:c>
      <x:c r="K1125" s="88" t="str">
        <x:f>IF(C1125="","",MAX(0,SUMIFS(SONDERZAHLUNGEN!$E$9:$E$128,SONDERZAHLUNGEN!$B$9:$B$128,C1125,SONDERZAHLUNGEN!$C$9:$C$128,A1125,SONDERZAHLUNGEN!$H$9:$H$128,"OK",SONDERZAHLUNGEN!$F$9:$F$128,"Ja")-G1125))</x:f>
      </x:c>
    </x:row>
    <x:row r="1126" ht="19" customHeight="1">
      <x:c r="A1126" s="90" t="n">
        <x:f>MONATSBUDGET!$A$63</x:f>
        <x:v>47908</x:v>
      </x:c>
      <x:c r="B1126" t="n">
        <x:f>7</x:f>
        <x:v>7</x:v>
      </x:c>
      <x:c r="C1126" t="str">
        <x:f>IF($N$15="","",$N$15)</x:f>
      </x:c>
      <x:c r="D1126" s="88" t="str">
        <x:f>IF(C1126="","",I1106)</x:f>
      </x:c>
      <x:c r="E1126" s="88" t="str">
        <x:f>IF(C1126="","",ROUND(D1126*$P$15/12,2))</x:f>
      </x:c>
      <x:c r="F1126" s="88" t="str">
        <x:f>IF(C1126="","",MIN(D1126+E1126,$Q$15))</x:f>
      </x:c>
      <x:c r="G1126" s="88" t="str">
        <x:f>IF(C1126="","",MIN(MAX(0,D1126+E1126-F1126),SUMIFS(SONDERZAHLUNGEN!$E$9:$E$128,SONDERZAHLUNGEN!$B$9:$B$128,C1126,SONDERZAHLUNGEN!$C$9:$C$128,A1126,SONDERZAHLUNGEN!$H$9:$H$128,"OK",SONDERZAHLUNGEN!$F$9:$F$128,"Ja")))</x:f>
      </x:c>
      <x:c r="H1126" s="88" t="str">
        <x:f>IF(C1126="","",MIN(MAX(0,D1126+E1126-F1126-G1126),MAX(0,IF(MONATSBUDGET!$C$63="",0,MONATSBUDGET!$C$63)-SUM(F1120:F1139)-SUM(H1120:H1125))))</x:f>
      </x:c>
      <x:c r="I1126" s="88" t="str">
        <x:f>IF(C1126="","",MAX(0,ROUND(D1126+E1126-F1126-G1126-H1126,2)))</x:f>
      </x:c>
      <x:c r="J1126" s="88" t="str">
        <x:f>IF(C1126="","",F1126+G1126+H1126)</x:f>
      </x:c>
      <x:c r="K1126" s="88" t="str">
        <x:f>IF(C1126="","",MAX(0,SUMIFS(SONDERZAHLUNGEN!$E$9:$E$128,SONDERZAHLUNGEN!$B$9:$B$128,C1126,SONDERZAHLUNGEN!$C$9:$C$128,A1126,SONDERZAHLUNGEN!$H$9:$H$128,"OK",SONDERZAHLUNGEN!$F$9:$F$128,"Ja")-G1126))</x:f>
      </x:c>
    </x:row>
    <x:row r="1127" ht="19" customHeight="1">
      <x:c r="A1127" s="90" t="n">
        <x:f>MONATSBUDGET!$A$63</x:f>
        <x:v>47908</x:v>
      </x:c>
      <x:c r="B1127" t="n">
        <x:f>8</x:f>
        <x:v>8</x:v>
      </x:c>
      <x:c r="C1127" t="str">
        <x:f>IF($N$16="","",$N$16)</x:f>
      </x:c>
      <x:c r="D1127" s="88" t="str">
        <x:f>IF(C1127="","",I1107)</x:f>
      </x:c>
      <x:c r="E1127" s="88" t="str">
        <x:f>IF(C1127="","",ROUND(D1127*$P$16/12,2))</x:f>
      </x:c>
      <x:c r="F1127" s="88" t="str">
        <x:f>IF(C1127="","",MIN(D1127+E1127,$Q$16))</x:f>
      </x:c>
      <x:c r="G1127" s="88" t="str">
        <x:f>IF(C1127="","",MIN(MAX(0,D1127+E1127-F1127),SUMIFS(SONDERZAHLUNGEN!$E$9:$E$128,SONDERZAHLUNGEN!$B$9:$B$128,C1127,SONDERZAHLUNGEN!$C$9:$C$128,A1127,SONDERZAHLUNGEN!$H$9:$H$128,"OK",SONDERZAHLUNGEN!$F$9:$F$128,"Ja")))</x:f>
      </x:c>
      <x:c r="H1127" s="88" t="str">
        <x:f>IF(C1127="","",MIN(MAX(0,D1127+E1127-F1127-G1127),MAX(0,IF(MONATSBUDGET!$C$63="",0,MONATSBUDGET!$C$63)-SUM(F1120:F1139)-SUM(H1120:H1126))))</x:f>
      </x:c>
      <x:c r="I1127" s="88" t="str">
        <x:f>IF(C1127="","",MAX(0,ROUND(D1127+E1127-F1127-G1127-H1127,2)))</x:f>
      </x:c>
      <x:c r="J1127" s="88" t="str">
        <x:f>IF(C1127="","",F1127+G1127+H1127)</x:f>
      </x:c>
      <x:c r="K1127" s="88" t="str">
        <x:f>IF(C1127="","",MAX(0,SUMIFS(SONDERZAHLUNGEN!$E$9:$E$128,SONDERZAHLUNGEN!$B$9:$B$128,C1127,SONDERZAHLUNGEN!$C$9:$C$128,A1127,SONDERZAHLUNGEN!$H$9:$H$128,"OK",SONDERZAHLUNGEN!$F$9:$F$128,"Ja")-G1127))</x:f>
      </x:c>
    </x:row>
    <x:row r="1128" ht="19" customHeight="1">
      <x:c r="A1128" s="90" t="n">
        <x:f>MONATSBUDGET!$A$63</x:f>
        <x:v>47908</x:v>
      </x:c>
      <x:c r="B1128" t="n">
        <x:f>9</x:f>
        <x:v>9</x:v>
      </x:c>
      <x:c r="C1128" t="str">
        <x:f>IF($N$17="","",$N$17)</x:f>
      </x:c>
      <x:c r="D1128" s="88" t="str">
        <x:f>IF(C1128="","",I1108)</x:f>
      </x:c>
      <x:c r="E1128" s="88" t="str">
        <x:f>IF(C1128="","",ROUND(D1128*$P$17/12,2))</x:f>
      </x:c>
      <x:c r="F1128" s="88" t="str">
        <x:f>IF(C1128="","",MIN(D1128+E1128,$Q$17))</x:f>
      </x:c>
      <x:c r="G1128" s="88" t="str">
        <x:f>IF(C1128="","",MIN(MAX(0,D1128+E1128-F1128),SUMIFS(SONDERZAHLUNGEN!$E$9:$E$128,SONDERZAHLUNGEN!$B$9:$B$128,C1128,SONDERZAHLUNGEN!$C$9:$C$128,A1128,SONDERZAHLUNGEN!$H$9:$H$128,"OK",SONDERZAHLUNGEN!$F$9:$F$128,"Ja")))</x:f>
      </x:c>
      <x:c r="H1128" s="88" t="str">
        <x:f>IF(C1128="","",MIN(MAX(0,D1128+E1128-F1128-G1128),MAX(0,IF(MONATSBUDGET!$C$63="",0,MONATSBUDGET!$C$63)-SUM(F1120:F1139)-SUM(H1120:H1127))))</x:f>
      </x:c>
      <x:c r="I1128" s="88" t="str">
        <x:f>IF(C1128="","",MAX(0,ROUND(D1128+E1128-F1128-G1128-H1128,2)))</x:f>
      </x:c>
      <x:c r="J1128" s="88" t="str">
        <x:f>IF(C1128="","",F1128+G1128+H1128)</x:f>
      </x:c>
      <x:c r="K1128" s="88" t="str">
        <x:f>IF(C1128="","",MAX(0,SUMIFS(SONDERZAHLUNGEN!$E$9:$E$128,SONDERZAHLUNGEN!$B$9:$B$128,C1128,SONDERZAHLUNGEN!$C$9:$C$128,A1128,SONDERZAHLUNGEN!$H$9:$H$128,"OK",SONDERZAHLUNGEN!$F$9:$F$128,"Ja")-G1128))</x:f>
      </x:c>
    </x:row>
    <x:row r="1129" ht="19" customHeight="1">
      <x:c r="A1129" s="90" t="n">
        <x:f>MONATSBUDGET!$A$63</x:f>
        <x:v>47908</x:v>
      </x:c>
      <x:c r="B1129" t="n">
        <x:f>10</x:f>
        <x:v>10</x:v>
      </x:c>
      <x:c r="C1129" t="str">
        <x:f>IF($N$18="","",$N$18)</x:f>
      </x:c>
      <x:c r="D1129" s="88" t="str">
        <x:f>IF(C1129="","",I1109)</x:f>
      </x:c>
      <x:c r="E1129" s="88" t="str">
        <x:f>IF(C1129="","",ROUND(D1129*$P$18/12,2))</x:f>
      </x:c>
      <x:c r="F1129" s="88" t="str">
        <x:f>IF(C1129="","",MIN(D1129+E1129,$Q$18))</x:f>
      </x:c>
      <x:c r="G1129" s="88" t="str">
        <x:f>IF(C1129="","",MIN(MAX(0,D1129+E1129-F1129),SUMIFS(SONDERZAHLUNGEN!$E$9:$E$128,SONDERZAHLUNGEN!$B$9:$B$128,C1129,SONDERZAHLUNGEN!$C$9:$C$128,A1129,SONDERZAHLUNGEN!$H$9:$H$128,"OK",SONDERZAHLUNGEN!$F$9:$F$128,"Ja")))</x:f>
      </x:c>
      <x:c r="H1129" s="88" t="str">
        <x:f>IF(C1129="","",MIN(MAX(0,D1129+E1129-F1129-G1129),MAX(0,IF(MONATSBUDGET!$C$63="",0,MONATSBUDGET!$C$63)-SUM(F1120:F1139)-SUM(H1120:H1128))))</x:f>
      </x:c>
      <x:c r="I1129" s="88" t="str">
        <x:f>IF(C1129="","",MAX(0,ROUND(D1129+E1129-F1129-G1129-H1129,2)))</x:f>
      </x:c>
      <x:c r="J1129" s="88" t="str">
        <x:f>IF(C1129="","",F1129+G1129+H1129)</x:f>
      </x:c>
      <x:c r="K1129" s="88" t="str">
        <x:f>IF(C1129="","",MAX(0,SUMIFS(SONDERZAHLUNGEN!$E$9:$E$128,SONDERZAHLUNGEN!$B$9:$B$128,C1129,SONDERZAHLUNGEN!$C$9:$C$128,A1129,SONDERZAHLUNGEN!$H$9:$H$128,"OK",SONDERZAHLUNGEN!$F$9:$F$128,"Ja")-G1129))</x:f>
      </x:c>
    </x:row>
    <x:row r="1130" ht="19" customHeight="1">
      <x:c r="A1130" s="90" t="n">
        <x:f>MONATSBUDGET!$A$63</x:f>
        <x:v>47908</x:v>
      </x:c>
      <x:c r="B1130" t="n">
        <x:f>11</x:f>
        <x:v>11</x:v>
      </x:c>
      <x:c r="C1130" t="str">
        <x:f>IF($N$19="","",$N$19)</x:f>
      </x:c>
      <x:c r="D1130" s="88" t="str">
        <x:f>IF(C1130="","",I1110)</x:f>
      </x:c>
      <x:c r="E1130" s="88" t="str">
        <x:f>IF(C1130="","",ROUND(D1130*$P$19/12,2))</x:f>
      </x:c>
      <x:c r="F1130" s="88" t="str">
        <x:f>IF(C1130="","",MIN(D1130+E1130,$Q$19))</x:f>
      </x:c>
      <x:c r="G1130" s="88" t="str">
        <x:f>IF(C1130="","",MIN(MAX(0,D1130+E1130-F1130),SUMIFS(SONDERZAHLUNGEN!$E$9:$E$128,SONDERZAHLUNGEN!$B$9:$B$128,C1130,SONDERZAHLUNGEN!$C$9:$C$128,A1130,SONDERZAHLUNGEN!$H$9:$H$128,"OK",SONDERZAHLUNGEN!$F$9:$F$128,"Ja")))</x:f>
      </x:c>
      <x:c r="H1130" s="88" t="str">
        <x:f>IF(C1130="","",MIN(MAX(0,D1130+E1130-F1130-G1130),MAX(0,IF(MONATSBUDGET!$C$63="",0,MONATSBUDGET!$C$63)-SUM(F1120:F1139)-SUM(H1120:H1129))))</x:f>
      </x:c>
      <x:c r="I1130" s="88" t="str">
        <x:f>IF(C1130="","",MAX(0,ROUND(D1130+E1130-F1130-G1130-H1130,2)))</x:f>
      </x:c>
      <x:c r="J1130" s="88" t="str">
        <x:f>IF(C1130="","",F1130+G1130+H1130)</x:f>
      </x:c>
      <x:c r="K1130" s="88" t="str">
        <x:f>IF(C1130="","",MAX(0,SUMIFS(SONDERZAHLUNGEN!$E$9:$E$128,SONDERZAHLUNGEN!$B$9:$B$128,C1130,SONDERZAHLUNGEN!$C$9:$C$128,A1130,SONDERZAHLUNGEN!$H$9:$H$128,"OK",SONDERZAHLUNGEN!$F$9:$F$128,"Ja")-G1130))</x:f>
      </x:c>
    </x:row>
    <x:row r="1131" ht="19" customHeight="1">
      <x:c r="A1131" s="90" t="n">
        <x:f>MONATSBUDGET!$A$63</x:f>
        <x:v>47908</x:v>
      </x:c>
      <x:c r="B1131" t="n">
        <x:f>12</x:f>
        <x:v>12</x:v>
      </x:c>
      <x:c r="C1131" t="str">
        <x:f>IF($N$20="","",$N$20)</x:f>
      </x:c>
      <x:c r="D1131" s="88" t="str">
        <x:f>IF(C1131="","",I1111)</x:f>
      </x:c>
      <x:c r="E1131" s="88" t="str">
        <x:f>IF(C1131="","",ROUND(D1131*$P$20/12,2))</x:f>
      </x:c>
      <x:c r="F1131" s="88" t="str">
        <x:f>IF(C1131="","",MIN(D1131+E1131,$Q$20))</x:f>
      </x:c>
      <x:c r="G1131" s="88" t="str">
        <x:f>IF(C1131="","",MIN(MAX(0,D1131+E1131-F1131),SUMIFS(SONDERZAHLUNGEN!$E$9:$E$128,SONDERZAHLUNGEN!$B$9:$B$128,C1131,SONDERZAHLUNGEN!$C$9:$C$128,A1131,SONDERZAHLUNGEN!$H$9:$H$128,"OK",SONDERZAHLUNGEN!$F$9:$F$128,"Ja")))</x:f>
      </x:c>
      <x:c r="H1131" s="88" t="str">
        <x:f>IF(C1131="","",MIN(MAX(0,D1131+E1131-F1131-G1131),MAX(0,IF(MONATSBUDGET!$C$63="",0,MONATSBUDGET!$C$63)-SUM(F1120:F1139)-SUM(H1120:H1130))))</x:f>
      </x:c>
      <x:c r="I1131" s="88" t="str">
        <x:f>IF(C1131="","",MAX(0,ROUND(D1131+E1131-F1131-G1131-H1131,2)))</x:f>
      </x:c>
      <x:c r="J1131" s="88" t="str">
        <x:f>IF(C1131="","",F1131+G1131+H1131)</x:f>
      </x:c>
      <x:c r="K1131" s="88" t="str">
        <x:f>IF(C1131="","",MAX(0,SUMIFS(SONDERZAHLUNGEN!$E$9:$E$128,SONDERZAHLUNGEN!$B$9:$B$128,C1131,SONDERZAHLUNGEN!$C$9:$C$128,A1131,SONDERZAHLUNGEN!$H$9:$H$128,"OK",SONDERZAHLUNGEN!$F$9:$F$128,"Ja")-G1131))</x:f>
      </x:c>
    </x:row>
    <x:row r="1132" ht="19" customHeight="1">
      <x:c r="A1132" s="90" t="n">
        <x:f>MONATSBUDGET!$A$63</x:f>
        <x:v>47908</x:v>
      </x:c>
      <x:c r="B1132" t="n">
        <x:f>13</x:f>
        <x:v>13</x:v>
      </x:c>
      <x:c r="C1132" t="str">
        <x:f>IF($N$21="","",$N$21)</x:f>
      </x:c>
      <x:c r="D1132" s="88" t="str">
        <x:f>IF(C1132="","",I1112)</x:f>
      </x:c>
      <x:c r="E1132" s="88" t="str">
        <x:f>IF(C1132="","",ROUND(D1132*$P$21/12,2))</x:f>
      </x:c>
      <x:c r="F1132" s="88" t="str">
        <x:f>IF(C1132="","",MIN(D1132+E1132,$Q$21))</x:f>
      </x:c>
      <x:c r="G1132" s="88" t="str">
        <x:f>IF(C1132="","",MIN(MAX(0,D1132+E1132-F1132),SUMIFS(SONDERZAHLUNGEN!$E$9:$E$128,SONDERZAHLUNGEN!$B$9:$B$128,C1132,SONDERZAHLUNGEN!$C$9:$C$128,A1132,SONDERZAHLUNGEN!$H$9:$H$128,"OK",SONDERZAHLUNGEN!$F$9:$F$128,"Ja")))</x:f>
      </x:c>
      <x:c r="H1132" s="88" t="str">
        <x:f>IF(C1132="","",MIN(MAX(0,D1132+E1132-F1132-G1132),MAX(0,IF(MONATSBUDGET!$C$63="",0,MONATSBUDGET!$C$63)-SUM(F1120:F1139)-SUM(H1120:H1131))))</x:f>
      </x:c>
      <x:c r="I1132" s="88" t="str">
        <x:f>IF(C1132="","",MAX(0,ROUND(D1132+E1132-F1132-G1132-H1132,2)))</x:f>
      </x:c>
      <x:c r="J1132" s="88" t="str">
        <x:f>IF(C1132="","",F1132+G1132+H1132)</x:f>
      </x:c>
      <x:c r="K1132" s="88" t="str">
        <x:f>IF(C1132="","",MAX(0,SUMIFS(SONDERZAHLUNGEN!$E$9:$E$128,SONDERZAHLUNGEN!$B$9:$B$128,C1132,SONDERZAHLUNGEN!$C$9:$C$128,A1132,SONDERZAHLUNGEN!$H$9:$H$128,"OK",SONDERZAHLUNGEN!$F$9:$F$128,"Ja")-G1132))</x:f>
      </x:c>
    </x:row>
    <x:row r="1133" ht="19" customHeight="1">
      <x:c r="A1133" s="90" t="n">
        <x:f>MONATSBUDGET!$A$63</x:f>
        <x:v>47908</x:v>
      </x:c>
      <x:c r="B1133" t="n">
        <x:f>14</x:f>
        <x:v>14</x:v>
      </x:c>
      <x:c r="C1133" t="str">
        <x:f>IF($N$22="","",$N$22)</x:f>
      </x:c>
      <x:c r="D1133" s="88" t="str">
        <x:f>IF(C1133="","",I1113)</x:f>
      </x:c>
      <x:c r="E1133" s="88" t="str">
        <x:f>IF(C1133="","",ROUND(D1133*$P$22/12,2))</x:f>
      </x:c>
      <x:c r="F1133" s="88" t="str">
        <x:f>IF(C1133="","",MIN(D1133+E1133,$Q$22))</x:f>
      </x:c>
      <x:c r="G1133" s="88" t="str">
        <x:f>IF(C1133="","",MIN(MAX(0,D1133+E1133-F1133),SUMIFS(SONDERZAHLUNGEN!$E$9:$E$128,SONDERZAHLUNGEN!$B$9:$B$128,C1133,SONDERZAHLUNGEN!$C$9:$C$128,A1133,SONDERZAHLUNGEN!$H$9:$H$128,"OK",SONDERZAHLUNGEN!$F$9:$F$128,"Ja")))</x:f>
      </x:c>
      <x:c r="H1133" s="88" t="str">
        <x:f>IF(C1133="","",MIN(MAX(0,D1133+E1133-F1133-G1133),MAX(0,IF(MONATSBUDGET!$C$63="",0,MONATSBUDGET!$C$63)-SUM(F1120:F1139)-SUM(H1120:H1132))))</x:f>
      </x:c>
      <x:c r="I1133" s="88" t="str">
        <x:f>IF(C1133="","",MAX(0,ROUND(D1133+E1133-F1133-G1133-H1133,2)))</x:f>
      </x:c>
      <x:c r="J1133" s="88" t="str">
        <x:f>IF(C1133="","",F1133+G1133+H1133)</x:f>
      </x:c>
      <x:c r="K1133" s="88" t="str">
        <x:f>IF(C1133="","",MAX(0,SUMIFS(SONDERZAHLUNGEN!$E$9:$E$128,SONDERZAHLUNGEN!$B$9:$B$128,C1133,SONDERZAHLUNGEN!$C$9:$C$128,A1133,SONDERZAHLUNGEN!$H$9:$H$128,"OK",SONDERZAHLUNGEN!$F$9:$F$128,"Ja")-G1133))</x:f>
      </x:c>
    </x:row>
    <x:row r="1134" ht="19" customHeight="1">
      <x:c r="A1134" s="90" t="n">
        <x:f>MONATSBUDGET!$A$63</x:f>
        <x:v>47908</x:v>
      </x:c>
      <x:c r="B1134" t="n">
        <x:f>15</x:f>
        <x:v>15</x:v>
      </x:c>
      <x:c r="C1134" t="str">
        <x:f>IF($N$23="","",$N$23)</x:f>
      </x:c>
      <x:c r="D1134" s="88" t="str">
        <x:f>IF(C1134="","",I1114)</x:f>
      </x:c>
      <x:c r="E1134" s="88" t="str">
        <x:f>IF(C1134="","",ROUND(D1134*$P$23/12,2))</x:f>
      </x:c>
      <x:c r="F1134" s="88" t="str">
        <x:f>IF(C1134="","",MIN(D1134+E1134,$Q$23))</x:f>
      </x:c>
      <x:c r="G1134" s="88" t="str">
        <x:f>IF(C1134="","",MIN(MAX(0,D1134+E1134-F1134),SUMIFS(SONDERZAHLUNGEN!$E$9:$E$128,SONDERZAHLUNGEN!$B$9:$B$128,C1134,SONDERZAHLUNGEN!$C$9:$C$128,A1134,SONDERZAHLUNGEN!$H$9:$H$128,"OK",SONDERZAHLUNGEN!$F$9:$F$128,"Ja")))</x:f>
      </x:c>
      <x:c r="H1134" s="88" t="str">
        <x:f>IF(C1134="","",MIN(MAX(0,D1134+E1134-F1134-G1134),MAX(0,IF(MONATSBUDGET!$C$63="",0,MONATSBUDGET!$C$63)-SUM(F1120:F1139)-SUM(H1120:H1133))))</x:f>
      </x:c>
      <x:c r="I1134" s="88" t="str">
        <x:f>IF(C1134="","",MAX(0,ROUND(D1134+E1134-F1134-G1134-H1134,2)))</x:f>
      </x:c>
      <x:c r="J1134" s="88" t="str">
        <x:f>IF(C1134="","",F1134+G1134+H1134)</x:f>
      </x:c>
      <x:c r="K1134" s="88" t="str">
        <x:f>IF(C1134="","",MAX(0,SUMIFS(SONDERZAHLUNGEN!$E$9:$E$128,SONDERZAHLUNGEN!$B$9:$B$128,C1134,SONDERZAHLUNGEN!$C$9:$C$128,A1134,SONDERZAHLUNGEN!$H$9:$H$128,"OK",SONDERZAHLUNGEN!$F$9:$F$128,"Ja")-G1134))</x:f>
      </x:c>
    </x:row>
    <x:row r="1135" ht="19" customHeight="1">
      <x:c r="A1135" s="90" t="n">
        <x:f>MONATSBUDGET!$A$63</x:f>
        <x:v>47908</x:v>
      </x:c>
      <x:c r="B1135" t="n">
        <x:f>16</x:f>
        <x:v>16</x:v>
      </x:c>
      <x:c r="C1135" t="str">
        <x:f>IF($N$24="","",$N$24)</x:f>
      </x:c>
      <x:c r="D1135" s="88" t="str">
        <x:f>IF(C1135="","",I1115)</x:f>
      </x:c>
      <x:c r="E1135" s="88" t="str">
        <x:f>IF(C1135="","",ROUND(D1135*$P$24/12,2))</x:f>
      </x:c>
      <x:c r="F1135" s="88" t="str">
        <x:f>IF(C1135="","",MIN(D1135+E1135,$Q$24))</x:f>
      </x:c>
      <x:c r="G1135" s="88" t="str">
        <x:f>IF(C1135="","",MIN(MAX(0,D1135+E1135-F1135),SUMIFS(SONDERZAHLUNGEN!$E$9:$E$128,SONDERZAHLUNGEN!$B$9:$B$128,C1135,SONDERZAHLUNGEN!$C$9:$C$128,A1135,SONDERZAHLUNGEN!$H$9:$H$128,"OK",SONDERZAHLUNGEN!$F$9:$F$128,"Ja")))</x:f>
      </x:c>
      <x:c r="H1135" s="88" t="str">
        <x:f>IF(C1135="","",MIN(MAX(0,D1135+E1135-F1135-G1135),MAX(0,IF(MONATSBUDGET!$C$63="",0,MONATSBUDGET!$C$63)-SUM(F1120:F1139)-SUM(H1120:H1134))))</x:f>
      </x:c>
      <x:c r="I1135" s="88" t="str">
        <x:f>IF(C1135="","",MAX(0,ROUND(D1135+E1135-F1135-G1135-H1135,2)))</x:f>
      </x:c>
      <x:c r="J1135" s="88" t="str">
        <x:f>IF(C1135="","",F1135+G1135+H1135)</x:f>
      </x:c>
      <x:c r="K1135" s="88" t="str">
        <x:f>IF(C1135="","",MAX(0,SUMIFS(SONDERZAHLUNGEN!$E$9:$E$128,SONDERZAHLUNGEN!$B$9:$B$128,C1135,SONDERZAHLUNGEN!$C$9:$C$128,A1135,SONDERZAHLUNGEN!$H$9:$H$128,"OK",SONDERZAHLUNGEN!$F$9:$F$128,"Ja")-G1135))</x:f>
      </x:c>
    </x:row>
    <x:row r="1136" ht="19" customHeight="1">
      <x:c r="A1136" s="90" t="n">
        <x:f>MONATSBUDGET!$A$63</x:f>
        <x:v>47908</x:v>
      </x:c>
      <x:c r="B1136" t="n">
        <x:f>17</x:f>
        <x:v>17</x:v>
      </x:c>
      <x:c r="C1136" t="str">
        <x:f>IF($N$25="","",$N$25)</x:f>
      </x:c>
      <x:c r="D1136" s="88" t="str">
        <x:f>IF(C1136="","",I1116)</x:f>
      </x:c>
      <x:c r="E1136" s="88" t="str">
        <x:f>IF(C1136="","",ROUND(D1136*$P$25/12,2))</x:f>
      </x:c>
      <x:c r="F1136" s="88" t="str">
        <x:f>IF(C1136="","",MIN(D1136+E1136,$Q$25))</x:f>
      </x:c>
      <x:c r="G1136" s="88" t="str">
        <x:f>IF(C1136="","",MIN(MAX(0,D1136+E1136-F1136),SUMIFS(SONDERZAHLUNGEN!$E$9:$E$128,SONDERZAHLUNGEN!$B$9:$B$128,C1136,SONDERZAHLUNGEN!$C$9:$C$128,A1136,SONDERZAHLUNGEN!$H$9:$H$128,"OK",SONDERZAHLUNGEN!$F$9:$F$128,"Ja")))</x:f>
      </x:c>
      <x:c r="H1136" s="88" t="str">
        <x:f>IF(C1136="","",MIN(MAX(0,D1136+E1136-F1136-G1136),MAX(0,IF(MONATSBUDGET!$C$63="",0,MONATSBUDGET!$C$63)-SUM(F1120:F1139)-SUM(H1120:H1135))))</x:f>
      </x:c>
      <x:c r="I1136" s="88" t="str">
        <x:f>IF(C1136="","",MAX(0,ROUND(D1136+E1136-F1136-G1136-H1136,2)))</x:f>
      </x:c>
      <x:c r="J1136" s="88" t="str">
        <x:f>IF(C1136="","",F1136+G1136+H1136)</x:f>
      </x:c>
      <x:c r="K1136" s="88" t="str">
        <x:f>IF(C1136="","",MAX(0,SUMIFS(SONDERZAHLUNGEN!$E$9:$E$128,SONDERZAHLUNGEN!$B$9:$B$128,C1136,SONDERZAHLUNGEN!$C$9:$C$128,A1136,SONDERZAHLUNGEN!$H$9:$H$128,"OK",SONDERZAHLUNGEN!$F$9:$F$128,"Ja")-G1136))</x:f>
      </x:c>
    </x:row>
    <x:row r="1137" ht="19" customHeight="1">
      <x:c r="A1137" s="90" t="n">
        <x:f>MONATSBUDGET!$A$63</x:f>
        <x:v>47908</x:v>
      </x:c>
      <x:c r="B1137" t="n">
        <x:f>18</x:f>
        <x:v>18</x:v>
      </x:c>
      <x:c r="C1137" t="str">
        <x:f>IF($N$26="","",$N$26)</x:f>
      </x:c>
      <x:c r="D1137" s="88" t="str">
        <x:f>IF(C1137="","",I1117)</x:f>
      </x:c>
      <x:c r="E1137" s="88" t="str">
        <x:f>IF(C1137="","",ROUND(D1137*$P$26/12,2))</x:f>
      </x:c>
      <x:c r="F1137" s="88" t="str">
        <x:f>IF(C1137="","",MIN(D1137+E1137,$Q$26))</x:f>
      </x:c>
      <x:c r="G1137" s="88" t="str">
        <x:f>IF(C1137="","",MIN(MAX(0,D1137+E1137-F1137),SUMIFS(SONDERZAHLUNGEN!$E$9:$E$128,SONDERZAHLUNGEN!$B$9:$B$128,C1137,SONDERZAHLUNGEN!$C$9:$C$128,A1137,SONDERZAHLUNGEN!$H$9:$H$128,"OK",SONDERZAHLUNGEN!$F$9:$F$128,"Ja")))</x:f>
      </x:c>
      <x:c r="H1137" s="88" t="str">
        <x:f>IF(C1137="","",MIN(MAX(0,D1137+E1137-F1137-G1137),MAX(0,IF(MONATSBUDGET!$C$63="",0,MONATSBUDGET!$C$63)-SUM(F1120:F1139)-SUM(H1120:H1136))))</x:f>
      </x:c>
      <x:c r="I1137" s="88" t="str">
        <x:f>IF(C1137="","",MAX(0,ROUND(D1137+E1137-F1137-G1137-H1137,2)))</x:f>
      </x:c>
      <x:c r="J1137" s="88" t="str">
        <x:f>IF(C1137="","",F1137+G1137+H1137)</x:f>
      </x:c>
      <x:c r="K1137" s="88" t="str">
        <x:f>IF(C1137="","",MAX(0,SUMIFS(SONDERZAHLUNGEN!$E$9:$E$128,SONDERZAHLUNGEN!$B$9:$B$128,C1137,SONDERZAHLUNGEN!$C$9:$C$128,A1137,SONDERZAHLUNGEN!$H$9:$H$128,"OK",SONDERZAHLUNGEN!$F$9:$F$128,"Ja")-G1137))</x:f>
      </x:c>
    </x:row>
    <x:row r="1138" ht="19" customHeight="1">
      <x:c r="A1138" s="90" t="n">
        <x:f>MONATSBUDGET!$A$63</x:f>
        <x:v>47908</x:v>
      </x:c>
      <x:c r="B1138" t="n">
        <x:f>19</x:f>
        <x:v>19</x:v>
      </x:c>
      <x:c r="C1138" t="str">
        <x:f>IF($N$27="","",$N$27)</x:f>
      </x:c>
      <x:c r="D1138" s="88" t="str">
        <x:f>IF(C1138="","",I1118)</x:f>
      </x:c>
      <x:c r="E1138" s="88" t="str">
        <x:f>IF(C1138="","",ROUND(D1138*$P$27/12,2))</x:f>
      </x:c>
      <x:c r="F1138" s="88" t="str">
        <x:f>IF(C1138="","",MIN(D1138+E1138,$Q$27))</x:f>
      </x:c>
      <x:c r="G1138" s="88" t="str">
        <x:f>IF(C1138="","",MIN(MAX(0,D1138+E1138-F1138),SUMIFS(SONDERZAHLUNGEN!$E$9:$E$128,SONDERZAHLUNGEN!$B$9:$B$128,C1138,SONDERZAHLUNGEN!$C$9:$C$128,A1138,SONDERZAHLUNGEN!$H$9:$H$128,"OK",SONDERZAHLUNGEN!$F$9:$F$128,"Ja")))</x:f>
      </x:c>
      <x:c r="H1138" s="88" t="str">
        <x:f>IF(C1138="","",MIN(MAX(0,D1138+E1138-F1138-G1138),MAX(0,IF(MONATSBUDGET!$C$63="",0,MONATSBUDGET!$C$63)-SUM(F1120:F1139)-SUM(H1120:H1137))))</x:f>
      </x:c>
      <x:c r="I1138" s="88" t="str">
        <x:f>IF(C1138="","",MAX(0,ROUND(D1138+E1138-F1138-G1138-H1138,2)))</x:f>
      </x:c>
      <x:c r="J1138" s="88" t="str">
        <x:f>IF(C1138="","",F1138+G1138+H1138)</x:f>
      </x:c>
      <x:c r="K1138" s="88" t="str">
        <x:f>IF(C1138="","",MAX(0,SUMIFS(SONDERZAHLUNGEN!$E$9:$E$128,SONDERZAHLUNGEN!$B$9:$B$128,C1138,SONDERZAHLUNGEN!$C$9:$C$128,A1138,SONDERZAHLUNGEN!$H$9:$H$128,"OK",SONDERZAHLUNGEN!$F$9:$F$128,"Ja")-G1138))</x:f>
      </x:c>
    </x:row>
    <x:row r="1139" ht="19" customHeight="1">
      <x:c r="A1139" s="90" t="n">
        <x:f>MONATSBUDGET!$A$63</x:f>
        <x:v>47908</x:v>
      </x:c>
      <x:c r="B1139" t="n">
        <x:f>20</x:f>
        <x:v>20</x:v>
      </x:c>
      <x:c r="C1139" t="str">
        <x:f>IF($N$28="","",$N$28)</x:f>
      </x:c>
      <x:c r="D1139" s="88" t="str">
        <x:f>IF(C1139="","",I1119)</x:f>
      </x:c>
      <x:c r="E1139" s="88" t="str">
        <x:f>IF(C1139="","",ROUND(D1139*$P$28/12,2))</x:f>
      </x:c>
      <x:c r="F1139" s="88" t="str">
        <x:f>IF(C1139="","",MIN(D1139+E1139,$Q$28))</x:f>
      </x:c>
      <x:c r="G1139" s="88" t="str">
        <x:f>IF(C1139="","",MIN(MAX(0,D1139+E1139-F1139),SUMIFS(SONDERZAHLUNGEN!$E$9:$E$128,SONDERZAHLUNGEN!$B$9:$B$128,C1139,SONDERZAHLUNGEN!$C$9:$C$128,A1139,SONDERZAHLUNGEN!$H$9:$H$128,"OK",SONDERZAHLUNGEN!$F$9:$F$128,"Ja")))</x:f>
      </x:c>
      <x:c r="H1139" s="88" t="str">
        <x:f>IF(C1139="","",MIN(MAX(0,D1139+E1139-F1139-G1139),MAX(0,IF(MONATSBUDGET!$C$63="",0,MONATSBUDGET!$C$63)-SUM(F1120:F1139)-SUM(H1120:H1138))))</x:f>
      </x:c>
      <x:c r="I1139" s="88" t="str">
        <x:f>IF(C1139="","",MAX(0,ROUND(D1139+E1139-F1139-G1139-H1139,2)))</x:f>
      </x:c>
      <x:c r="J1139" s="88" t="str">
        <x:f>IF(C1139="","",F1139+G1139+H1139)</x:f>
      </x:c>
      <x:c r="K1139" s="88" t="str">
        <x:f>IF(C1139="","",MAX(0,SUMIFS(SONDERZAHLUNGEN!$E$9:$E$128,SONDERZAHLUNGEN!$B$9:$B$128,C1139,SONDERZAHLUNGEN!$C$9:$C$128,A1139,SONDERZAHLUNGEN!$H$9:$H$128,"OK",SONDERZAHLUNGEN!$F$9:$F$128,"Ja")-G1139))</x:f>
      </x:c>
    </x:row>
    <x:row r="1140" ht="19" customHeight="1">
      <x:c r="A1140" s="90" t="n">
        <x:f>MONATSBUDGET!$A$64</x:f>
        <x:v>47939</x:v>
      </x:c>
      <x:c r="B1140" t="n">
        <x:f>1</x:f>
        <x:v>1</x:v>
      </x:c>
      <x:c r="C1140" t="str">
        <x:f>IF($N$9="","",$N$9)</x:f>
      </x:c>
      <x:c r="D1140" s="88" t="str">
        <x:f>IF(C1140="","",I1120)</x:f>
      </x:c>
      <x:c r="E1140" s="88" t="str">
        <x:f>IF(C1140="","",ROUND(D1140*$P$9/12,2))</x:f>
      </x:c>
      <x:c r="F1140" s="88" t="str">
        <x:f>IF(C1140="","",MIN(D1140+E1140,$Q$9))</x:f>
      </x:c>
      <x:c r="G1140" s="88" t="str">
        <x:f>IF(C1140="","",MIN(MAX(0,D1140+E1140-F1140),SUMIFS(SONDERZAHLUNGEN!$E$9:$E$128,SONDERZAHLUNGEN!$B$9:$B$128,C1140,SONDERZAHLUNGEN!$C$9:$C$128,A1140,SONDERZAHLUNGEN!$H$9:$H$128,"OK",SONDERZAHLUNGEN!$F$9:$F$128,"Ja")))</x:f>
      </x:c>
      <x:c r="H1140" s="88" t="str">
        <x:f>IF(C1140="","",MIN(MAX(0,D1140+E1140-F1140-G1140),MAX(0,IF(MONATSBUDGET!$C$64="",0,MONATSBUDGET!$C$64)-SUM(F1140:F1159)-0)))</x:f>
      </x:c>
      <x:c r="I1140" s="88" t="str">
        <x:f>IF(C1140="","",MAX(0,ROUND(D1140+E1140-F1140-G1140-H1140,2)))</x:f>
      </x:c>
      <x:c r="J1140" s="88" t="str">
        <x:f>IF(C1140="","",F1140+G1140+H1140)</x:f>
      </x:c>
      <x:c r="K1140" s="88" t="str">
        <x:f>IF(C1140="","",MAX(0,SUMIFS(SONDERZAHLUNGEN!$E$9:$E$128,SONDERZAHLUNGEN!$B$9:$B$128,C1140,SONDERZAHLUNGEN!$C$9:$C$128,A1140,SONDERZAHLUNGEN!$H$9:$H$128,"OK",SONDERZAHLUNGEN!$F$9:$F$128,"Ja")-G1140))</x:f>
      </x:c>
    </x:row>
    <x:row r="1141" ht="19" customHeight="1">
      <x:c r="A1141" s="90" t="n">
        <x:f>MONATSBUDGET!$A$64</x:f>
        <x:v>47939</x:v>
      </x:c>
      <x:c r="B1141" t="n">
        <x:f>2</x:f>
        <x:v>2</x:v>
      </x:c>
      <x:c r="C1141" t="str">
        <x:f>IF($N$10="","",$N$10)</x:f>
      </x:c>
      <x:c r="D1141" s="88" t="str">
        <x:f>IF(C1141="","",I1121)</x:f>
      </x:c>
      <x:c r="E1141" s="88" t="str">
        <x:f>IF(C1141="","",ROUND(D1141*$P$10/12,2))</x:f>
      </x:c>
      <x:c r="F1141" s="88" t="str">
        <x:f>IF(C1141="","",MIN(D1141+E1141,$Q$10))</x:f>
      </x:c>
      <x:c r="G1141" s="88" t="str">
        <x:f>IF(C1141="","",MIN(MAX(0,D1141+E1141-F1141),SUMIFS(SONDERZAHLUNGEN!$E$9:$E$128,SONDERZAHLUNGEN!$B$9:$B$128,C1141,SONDERZAHLUNGEN!$C$9:$C$128,A1141,SONDERZAHLUNGEN!$H$9:$H$128,"OK",SONDERZAHLUNGEN!$F$9:$F$128,"Ja")))</x:f>
      </x:c>
      <x:c r="H1141" s="88" t="str">
        <x:f>IF(C1141="","",MIN(MAX(0,D1141+E1141-F1141-G1141),MAX(0,IF(MONATSBUDGET!$C$64="",0,MONATSBUDGET!$C$64)-SUM(F1140:F1159)-SUM(H1140:H1140))))</x:f>
      </x:c>
      <x:c r="I1141" s="88" t="str">
        <x:f>IF(C1141="","",MAX(0,ROUND(D1141+E1141-F1141-G1141-H1141,2)))</x:f>
      </x:c>
      <x:c r="J1141" s="88" t="str">
        <x:f>IF(C1141="","",F1141+G1141+H1141)</x:f>
      </x:c>
      <x:c r="K1141" s="88" t="str">
        <x:f>IF(C1141="","",MAX(0,SUMIFS(SONDERZAHLUNGEN!$E$9:$E$128,SONDERZAHLUNGEN!$B$9:$B$128,C1141,SONDERZAHLUNGEN!$C$9:$C$128,A1141,SONDERZAHLUNGEN!$H$9:$H$128,"OK",SONDERZAHLUNGEN!$F$9:$F$128,"Ja")-G1141))</x:f>
      </x:c>
    </x:row>
    <x:row r="1142" ht="19" customHeight="1">
      <x:c r="A1142" s="90" t="n">
        <x:f>MONATSBUDGET!$A$64</x:f>
        <x:v>47939</x:v>
      </x:c>
      <x:c r="B1142" t="n">
        <x:f>3</x:f>
        <x:v>3</x:v>
      </x:c>
      <x:c r="C1142" t="str">
        <x:f>IF($N$11="","",$N$11)</x:f>
      </x:c>
      <x:c r="D1142" s="88" t="str">
        <x:f>IF(C1142="","",I1122)</x:f>
      </x:c>
      <x:c r="E1142" s="88" t="str">
        <x:f>IF(C1142="","",ROUND(D1142*$P$11/12,2))</x:f>
      </x:c>
      <x:c r="F1142" s="88" t="str">
        <x:f>IF(C1142="","",MIN(D1142+E1142,$Q$11))</x:f>
      </x:c>
      <x:c r="G1142" s="88" t="str">
        <x:f>IF(C1142="","",MIN(MAX(0,D1142+E1142-F1142),SUMIFS(SONDERZAHLUNGEN!$E$9:$E$128,SONDERZAHLUNGEN!$B$9:$B$128,C1142,SONDERZAHLUNGEN!$C$9:$C$128,A1142,SONDERZAHLUNGEN!$H$9:$H$128,"OK",SONDERZAHLUNGEN!$F$9:$F$128,"Ja")))</x:f>
      </x:c>
      <x:c r="H1142" s="88" t="str">
        <x:f>IF(C1142="","",MIN(MAX(0,D1142+E1142-F1142-G1142),MAX(0,IF(MONATSBUDGET!$C$64="",0,MONATSBUDGET!$C$64)-SUM(F1140:F1159)-SUM(H1140:H1141))))</x:f>
      </x:c>
      <x:c r="I1142" s="88" t="str">
        <x:f>IF(C1142="","",MAX(0,ROUND(D1142+E1142-F1142-G1142-H1142,2)))</x:f>
      </x:c>
      <x:c r="J1142" s="88" t="str">
        <x:f>IF(C1142="","",F1142+G1142+H1142)</x:f>
      </x:c>
      <x:c r="K1142" s="88" t="str">
        <x:f>IF(C1142="","",MAX(0,SUMIFS(SONDERZAHLUNGEN!$E$9:$E$128,SONDERZAHLUNGEN!$B$9:$B$128,C1142,SONDERZAHLUNGEN!$C$9:$C$128,A1142,SONDERZAHLUNGEN!$H$9:$H$128,"OK",SONDERZAHLUNGEN!$F$9:$F$128,"Ja")-G1142))</x:f>
      </x:c>
    </x:row>
    <x:row r="1143" ht="19" customHeight="1">
      <x:c r="A1143" s="90" t="n">
        <x:f>MONATSBUDGET!$A$64</x:f>
        <x:v>47939</x:v>
      </x:c>
      <x:c r="B1143" t="n">
        <x:f>4</x:f>
        <x:v>4</x:v>
      </x:c>
      <x:c r="C1143" t="str">
        <x:f>IF($N$12="","",$N$12)</x:f>
      </x:c>
      <x:c r="D1143" s="88" t="str">
        <x:f>IF(C1143="","",I1123)</x:f>
      </x:c>
      <x:c r="E1143" s="88" t="str">
        <x:f>IF(C1143="","",ROUND(D1143*$P$12/12,2))</x:f>
      </x:c>
      <x:c r="F1143" s="88" t="str">
        <x:f>IF(C1143="","",MIN(D1143+E1143,$Q$12))</x:f>
      </x:c>
      <x:c r="G1143" s="88" t="str">
        <x:f>IF(C1143="","",MIN(MAX(0,D1143+E1143-F1143),SUMIFS(SONDERZAHLUNGEN!$E$9:$E$128,SONDERZAHLUNGEN!$B$9:$B$128,C1143,SONDERZAHLUNGEN!$C$9:$C$128,A1143,SONDERZAHLUNGEN!$H$9:$H$128,"OK",SONDERZAHLUNGEN!$F$9:$F$128,"Ja")))</x:f>
      </x:c>
      <x:c r="H1143" s="88" t="str">
        <x:f>IF(C1143="","",MIN(MAX(0,D1143+E1143-F1143-G1143),MAX(0,IF(MONATSBUDGET!$C$64="",0,MONATSBUDGET!$C$64)-SUM(F1140:F1159)-SUM(H1140:H1142))))</x:f>
      </x:c>
      <x:c r="I1143" s="88" t="str">
        <x:f>IF(C1143="","",MAX(0,ROUND(D1143+E1143-F1143-G1143-H1143,2)))</x:f>
      </x:c>
      <x:c r="J1143" s="88" t="str">
        <x:f>IF(C1143="","",F1143+G1143+H1143)</x:f>
      </x:c>
      <x:c r="K1143" s="88" t="str">
        <x:f>IF(C1143="","",MAX(0,SUMIFS(SONDERZAHLUNGEN!$E$9:$E$128,SONDERZAHLUNGEN!$B$9:$B$128,C1143,SONDERZAHLUNGEN!$C$9:$C$128,A1143,SONDERZAHLUNGEN!$H$9:$H$128,"OK",SONDERZAHLUNGEN!$F$9:$F$128,"Ja")-G1143))</x:f>
      </x:c>
    </x:row>
    <x:row r="1144" ht="19" customHeight="1">
      <x:c r="A1144" s="90" t="n">
        <x:f>MONATSBUDGET!$A$64</x:f>
        <x:v>47939</x:v>
      </x:c>
      <x:c r="B1144" t="n">
        <x:f>5</x:f>
        <x:v>5</x:v>
      </x:c>
      <x:c r="C1144" t="str">
        <x:f>IF($N$13="","",$N$13)</x:f>
      </x:c>
      <x:c r="D1144" s="88" t="str">
        <x:f>IF(C1144="","",I1124)</x:f>
      </x:c>
      <x:c r="E1144" s="88" t="str">
        <x:f>IF(C1144="","",ROUND(D1144*$P$13/12,2))</x:f>
      </x:c>
      <x:c r="F1144" s="88" t="str">
        <x:f>IF(C1144="","",MIN(D1144+E1144,$Q$13))</x:f>
      </x:c>
      <x:c r="G1144" s="88" t="str">
        <x:f>IF(C1144="","",MIN(MAX(0,D1144+E1144-F1144),SUMIFS(SONDERZAHLUNGEN!$E$9:$E$128,SONDERZAHLUNGEN!$B$9:$B$128,C1144,SONDERZAHLUNGEN!$C$9:$C$128,A1144,SONDERZAHLUNGEN!$H$9:$H$128,"OK",SONDERZAHLUNGEN!$F$9:$F$128,"Ja")))</x:f>
      </x:c>
      <x:c r="H1144" s="88" t="str">
        <x:f>IF(C1144="","",MIN(MAX(0,D1144+E1144-F1144-G1144),MAX(0,IF(MONATSBUDGET!$C$64="",0,MONATSBUDGET!$C$64)-SUM(F1140:F1159)-SUM(H1140:H1143))))</x:f>
      </x:c>
      <x:c r="I1144" s="88" t="str">
        <x:f>IF(C1144="","",MAX(0,ROUND(D1144+E1144-F1144-G1144-H1144,2)))</x:f>
      </x:c>
      <x:c r="J1144" s="88" t="str">
        <x:f>IF(C1144="","",F1144+G1144+H1144)</x:f>
      </x:c>
      <x:c r="K1144" s="88" t="str">
        <x:f>IF(C1144="","",MAX(0,SUMIFS(SONDERZAHLUNGEN!$E$9:$E$128,SONDERZAHLUNGEN!$B$9:$B$128,C1144,SONDERZAHLUNGEN!$C$9:$C$128,A1144,SONDERZAHLUNGEN!$H$9:$H$128,"OK",SONDERZAHLUNGEN!$F$9:$F$128,"Ja")-G1144))</x:f>
      </x:c>
    </x:row>
    <x:row r="1145" ht="19" customHeight="1">
      <x:c r="A1145" s="90" t="n">
        <x:f>MONATSBUDGET!$A$64</x:f>
        <x:v>47939</x:v>
      </x:c>
      <x:c r="B1145" t="n">
        <x:f>6</x:f>
        <x:v>6</x:v>
      </x:c>
      <x:c r="C1145" t="str">
        <x:f>IF($N$14="","",$N$14)</x:f>
      </x:c>
      <x:c r="D1145" s="88" t="str">
        <x:f>IF(C1145="","",I1125)</x:f>
      </x:c>
      <x:c r="E1145" s="88" t="str">
        <x:f>IF(C1145="","",ROUND(D1145*$P$14/12,2))</x:f>
      </x:c>
      <x:c r="F1145" s="88" t="str">
        <x:f>IF(C1145="","",MIN(D1145+E1145,$Q$14))</x:f>
      </x:c>
      <x:c r="G1145" s="88" t="str">
        <x:f>IF(C1145="","",MIN(MAX(0,D1145+E1145-F1145),SUMIFS(SONDERZAHLUNGEN!$E$9:$E$128,SONDERZAHLUNGEN!$B$9:$B$128,C1145,SONDERZAHLUNGEN!$C$9:$C$128,A1145,SONDERZAHLUNGEN!$H$9:$H$128,"OK",SONDERZAHLUNGEN!$F$9:$F$128,"Ja")))</x:f>
      </x:c>
      <x:c r="H1145" s="88" t="str">
        <x:f>IF(C1145="","",MIN(MAX(0,D1145+E1145-F1145-G1145),MAX(0,IF(MONATSBUDGET!$C$64="",0,MONATSBUDGET!$C$64)-SUM(F1140:F1159)-SUM(H1140:H1144))))</x:f>
      </x:c>
      <x:c r="I1145" s="88" t="str">
        <x:f>IF(C1145="","",MAX(0,ROUND(D1145+E1145-F1145-G1145-H1145,2)))</x:f>
      </x:c>
      <x:c r="J1145" s="88" t="str">
        <x:f>IF(C1145="","",F1145+G1145+H1145)</x:f>
      </x:c>
      <x:c r="K1145" s="88" t="str">
        <x:f>IF(C1145="","",MAX(0,SUMIFS(SONDERZAHLUNGEN!$E$9:$E$128,SONDERZAHLUNGEN!$B$9:$B$128,C1145,SONDERZAHLUNGEN!$C$9:$C$128,A1145,SONDERZAHLUNGEN!$H$9:$H$128,"OK",SONDERZAHLUNGEN!$F$9:$F$128,"Ja")-G1145))</x:f>
      </x:c>
    </x:row>
    <x:row r="1146" ht="19" customHeight="1">
      <x:c r="A1146" s="90" t="n">
        <x:f>MONATSBUDGET!$A$64</x:f>
        <x:v>47939</x:v>
      </x:c>
      <x:c r="B1146" t="n">
        <x:f>7</x:f>
        <x:v>7</x:v>
      </x:c>
      <x:c r="C1146" t="str">
        <x:f>IF($N$15="","",$N$15)</x:f>
      </x:c>
      <x:c r="D1146" s="88" t="str">
        <x:f>IF(C1146="","",I1126)</x:f>
      </x:c>
      <x:c r="E1146" s="88" t="str">
        <x:f>IF(C1146="","",ROUND(D1146*$P$15/12,2))</x:f>
      </x:c>
      <x:c r="F1146" s="88" t="str">
        <x:f>IF(C1146="","",MIN(D1146+E1146,$Q$15))</x:f>
      </x:c>
      <x:c r="G1146" s="88" t="str">
        <x:f>IF(C1146="","",MIN(MAX(0,D1146+E1146-F1146),SUMIFS(SONDERZAHLUNGEN!$E$9:$E$128,SONDERZAHLUNGEN!$B$9:$B$128,C1146,SONDERZAHLUNGEN!$C$9:$C$128,A1146,SONDERZAHLUNGEN!$H$9:$H$128,"OK",SONDERZAHLUNGEN!$F$9:$F$128,"Ja")))</x:f>
      </x:c>
      <x:c r="H1146" s="88" t="str">
        <x:f>IF(C1146="","",MIN(MAX(0,D1146+E1146-F1146-G1146),MAX(0,IF(MONATSBUDGET!$C$64="",0,MONATSBUDGET!$C$64)-SUM(F1140:F1159)-SUM(H1140:H1145))))</x:f>
      </x:c>
      <x:c r="I1146" s="88" t="str">
        <x:f>IF(C1146="","",MAX(0,ROUND(D1146+E1146-F1146-G1146-H1146,2)))</x:f>
      </x:c>
      <x:c r="J1146" s="88" t="str">
        <x:f>IF(C1146="","",F1146+G1146+H1146)</x:f>
      </x:c>
      <x:c r="K1146" s="88" t="str">
        <x:f>IF(C1146="","",MAX(0,SUMIFS(SONDERZAHLUNGEN!$E$9:$E$128,SONDERZAHLUNGEN!$B$9:$B$128,C1146,SONDERZAHLUNGEN!$C$9:$C$128,A1146,SONDERZAHLUNGEN!$H$9:$H$128,"OK",SONDERZAHLUNGEN!$F$9:$F$128,"Ja")-G1146))</x:f>
      </x:c>
    </x:row>
    <x:row r="1147" ht="19" customHeight="1">
      <x:c r="A1147" s="90" t="n">
        <x:f>MONATSBUDGET!$A$64</x:f>
        <x:v>47939</x:v>
      </x:c>
      <x:c r="B1147" t="n">
        <x:f>8</x:f>
        <x:v>8</x:v>
      </x:c>
      <x:c r="C1147" t="str">
        <x:f>IF($N$16="","",$N$16)</x:f>
      </x:c>
      <x:c r="D1147" s="88" t="str">
        <x:f>IF(C1147="","",I1127)</x:f>
      </x:c>
      <x:c r="E1147" s="88" t="str">
        <x:f>IF(C1147="","",ROUND(D1147*$P$16/12,2))</x:f>
      </x:c>
      <x:c r="F1147" s="88" t="str">
        <x:f>IF(C1147="","",MIN(D1147+E1147,$Q$16))</x:f>
      </x:c>
      <x:c r="G1147" s="88" t="str">
        <x:f>IF(C1147="","",MIN(MAX(0,D1147+E1147-F1147),SUMIFS(SONDERZAHLUNGEN!$E$9:$E$128,SONDERZAHLUNGEN!$B$9:$B$128,C1147,SONDERZAHLUNGEN!$C$9:$C$128,A1147,SONDERZAHLUNGEN!$H$9:$H$128,"OK",SONDERZAHLUNGEN!$F$9:$F$128,"Ja")))</x:f>
      </x:c>
      <x:c r="H1147" s="88" t="str">
        <x:f>IF(C1147="","",MIN(MAX(0,D1147+E1147-F1147-G1147),MAX(0,IF(MONATSBUDGET!$C$64="",0,MONATSBUDGET!$C$64)-SUM(F1140:F1159)-SUM(H1140:H1146))))</x:f>
      </x:c>
      <x:c r="I1147" s="88" t="str">
        <x:f>IF(C1147="","",MAX(0,ROUND(D1147+E1147-F1147-G1147-H1147,2)))</x:f>
      </x:c>
      <x:c r="J1147" s="88" t="str">
        <x:f>IF(C1147="","",F1147+G1147+H1147)</x:f>
      </x:c>
      <x:c r="K1147" s="88" t="str">
        <x:f>IF(C1147="","",MAX(0,SUMIFS(SONDERZAHLUNGEN!$E$9:$E$128,SONDERZAHLUNGEN!$B$9:$B$128,C1147,SONDERZAHLUNGEN!$C$9:$C$128,A1147,SONDERZAHLUNGEN!$H$9:$H$128,"OK",SONDERZAHLUNGEN!$F$9:$F$128,"Ja")-G1147))</x:f>
      </x:c>
    </x:row>
    <x:row r="1148" ht="19" customHeight="1">
      <x:c r="A1148" s="90" t="n">
        <x:f>MONATSBUDGET!$A$64</x:f>
        <x:v>47939</x:v>
      </x:c>
      <x:c r="B1148" t="n">
        <x:f>9</x:f>
        <x:v>9</x:v>
      </x:c>
      <x:c r="C1148" t="str">
        <x:f>IF($N$17="","",$N$17)</x:f>
      </x:c>
      <x:c r="D1148" s="88" t="str">
        <x:f>IF(C1148="","",I1128)</x:f>
      </x:c>
      <x:c r="E1148" s="88" t="str">
        <x:f>IF(C1148="","",ROUND(D1148*$P$17/12,2))</x:f>
      </x:c>
      <x:c r="F1148" s="88" t="str">
        <x:f>IF(C1148="","",MIN(D1148+E1148,$Q$17))</x:f>
      </x:c>
      <x:c r="G1148" s="88" t="str">
        <x:f>IF(C1148="","",MIN(MAX(0,D1148+E1148-F1148),SUMIFS(SONDERZAHLUNGEN!$E$9:$E$128,SONDERZAHLUNGEN!$B$9:$B$128,C1148,SONDERZAHLUNGEN!$C$9:$C$128,A1148,SONDERZAHLUNGEN!$H$9:$H$128,"OK",SONDERZAHLUNGEN!$F$9:$F$128,"Ja")))</x:f>
      </x:c>
      <x:c r="H1148" s="88" t="str">
        <x:f>IF(C1148="","",MIN(MAX(0,D1148+E1148-F1148-G1148),MAX(0,IF(MONATSBUDGET!$C$64="",0,MONATSBUDGET!$C$64)-SUM(F1140:F1159)-SUM(H1140:H1147))))</x:f>
      </x:c>
      <x:c r="I1148" s="88" t="str">
        <x:f>IF(C1148="","",MAX(0,ROUND(D1148+E1148-F1148-G1148-H1148,2)))</x:f>
      </x:c>
      <x:c r="J1148" s="88" t="str">
        <x:f>IF(C1148="","",F1148+G1148+H1148)</x:f>
      </x:c>
      <x:c r="K1148" s="88" t="str">
        <x:f>IF(C1148="","",MAX(0,SUMIFS(SONDERZAHLUNGEN!$E$9:$E$128,SONDERZAHLUNGEN!$B$9:$B$128,C1148,SONDERZAHLUNGEN!$C$9:$C$128,A1148,SONDERZAHLUNGEN!$H$9:$H$128,"OK",SONDERZAHLUNGEN!$F$9:$F$128,"Ja")-G1148))</x:f>
      </x:c>
    </x:row>
    <x:row r="1149" ht="19" customHeight="1">
      <x:c r="A1149" s="90" t="n">
        <x:f>MONATSBUDGET!$A$64</x:f>
        <x:v>47939</x:v>
      </x:c>
      <x:c r="B1149" t="n">
        <x:f>10</x:f>
        <x:v>10</x:v>
      </x:c>
      <x:c r="C1149" t="str">
        <x:f>IF($N$18="","",$N$18)</x:f>
      </x:c>
      <x:c r="D1149" s="88" t="str">
        <x:f>IF(C1149="","",I1129)</x:f>
      </x:c>
      <x:c r="E1149" s="88" t="str">
        <x:f>IF(C1149="","",ROUND(D1149*$P$18/12,2))</x:f>
      </x:c>
      <x:c r="F1149" s="88" t="str">
        <x:f>IF(C1149="","",MIN(D1149+E1149,$Q$18))</x:f>
      </x:c>
      <x:c r="G1149" s="88" t="str">
        <x:f>IF(C1149="","",MIN(MAX(0,D1149+E1149-F1149),SUMIFS(SONDERZAHLUNGEN!$E$9:$E$128,SONDERZAHLUNGEN!$B$9:$B$128,C1149,SONDERZAHLUNGEN!$C$9:$C$128,A1149,SONDERZAHLUNGEN!$H$9:$H$128,"OK",SONDERZAHLUNGEN!$F$9:$F$128,"Ja")))</x:f>
      </x:c>
      <x:c r="H1149" s="88" t="str">
        <x:f>IF(C1149="","",MIN(MAX(0,D1149+E1149-F1149-G1149),MAX(0,IF(MONATSBUDGET!$C$64="",0,MONATSBUDGET!$C$64)-SUM(F1140:F1159)-SUM(H1140:H1148))))</x:f>
      </x:c>
      <x:c r="I1149" s="88" t="str">
        <x:f>IF(C1149="","",MAX(0,ROUND(D1149+E1149-F1149-G1149-H1149,2)))</x:f>
      </x:c>
      <x:c r="J1149" s="88" t="str">
        <x:f>IF(C1149="","",F1149+G1149+H1149)</x:f>
      </x:c>
      <x:c r="K1149" s="88" t="str">
        <x:f>IF(C1149="","",MAX(0,SUMIFS(SONDERZAHLUNGEN!$E$9:$E$128,SONDERZAHLUNGEN!$B$9:$B$128,C1149,SONDERZAHLUNGEN!$C$9:$C$128,A1149,SONDERZAHLUNGEN!$H$9:$H$128,"OK",SONDERZAHLUNGEN!$F$9:$F$128,"Ja")-G1149))</x:f>
      </x:c>
    </x:row>
    <x:row r="1150" ht="19" customHeight="1">
      <x:c r="A1150" s="90" t="n">
        <x:f>MONATSBUDGET!$A$64</x:f>
        <x:v>47939</x:v>
      </x:c>
      <x:c r="B1150" t="n">
        <x:f>11</x:f>
        <x:v>11</x:v>
      </x:c>
      <x:c r="C1150" t="str">
        <x:f>IF($N$19="","",$N$19)</x:f>
      </x:c>
      <x:c r="D1150" s="88" t="str">
        <x:f>IF(C1150="","",I1130)</x:f>
      </x:c>
      <x:c r="E1150" s="88" t="str">
        <x:f>IF(C1150="","",ROUND(D1150*$P$19/12,2))</x:f>
      </x:c>
      <x:c r="F1150" s="88" t="str">
        <x:f>IF(C1150="","",MIN(D1150+E1150,$Q$19))</x:f>
      </x:c>
      <x:c r="G1150" s="88" t="str">
        <x:f>IF(C1150="","",MIN(MAX(0,D1150+E1150-F1150),SUMIFS(SONDERZAHLUNGEN!$E$9:$E$128,SONDERZAHLUNGEN!$B$9:$B$128,C1150,SONDERZAHLUNGEN!$C$9:$C$128,A1150,SONDERZAHLUNGEN!$H$9:$H$128,"OK",SONDERZAHLUNGEN!$F$9:$F$128,"Ja")))</x:f>
      </x:c>
      <x:c r="H1150" s="88" t="str">
        <x:f>IF(C1150="","",MIN(MAX(0,D1150+E1150-F1150-G1150),MAX(0,IF(MONATSBUDGET!$C$64="",0,MONATSBUDGET!$C$64)-SUM(F1140:F1159)-SUM(H1140:H1149))))</x:f>
      </x:c>
      <x:c r="I1150" s="88" t="str">
        <x:f>IF(C1150="","",MAX(0,ROUND(D1150+E1150-F1150-G1150-H1150,2)))</x:f>
      </x:c>
      <x:c r="J1150" s="88" t="str">
        <x:f>IF(C1150="","",F1150+G1150+H1150)</x:f>
      </x:c>
      <x:c r="K1150" s="88" t="str">
        <x:f>IF(C1150="","",MAX(0,SUMIFS(SONDERZAHLUNGEN!$E$9:$E$128,SONDERZAHLUNGEN!$B$9:$B$128,C1150,SONDERZAHLUNGEN!$C$9:$C$128,A1150,SONDERZAHLUNGEN!$H$9:$H$128,"OK",SONDERZAHLUNGEN!$F$9:$F$128,"Ja")-G1150))</x:f>
      </x:c>
    </x:row>
    <x:row r="1151" ht="19" customHeight="1">
      <x:c r="A1151" s="90" t="n">
        <x:f>MONATSBUDGET!$A$64</x:f>
        <x:v>47939</x:v>
      </x:c>
      <x:c r="B1151" t="n">
        <x:f>12</x:f>
        <x:v>12</x:v>
      </x:c>
      <x:c r="C1151" t="str">
        <x:f>IF($N$20="","",$N$20)</x:f>
      </x:c>
      <x:c r="D1151" s="88" t="str">
        <x:f>IF(C1151="","",I1131)</x:f>
      </x:c>
      <x:c r="E1151" s="88" t="str">
        <x:f>IF(C1151="","",ROUND(D1151*$P$20/12,2))</x:f>
      </x:c>
      <x:c r="F1151" s="88" t="str">
        <x:f>IF(C1151="","",MIN(D1151+E1151,$Q$20))</x:f>
      </x:c>
      <x:c r="G1151" s="88" t="str">
        <x:f>IF(C1151="","",MIN(MAX(0,D1151+E1151-F1151),SUMIFS(SONDERZAHLUNGEN!$E$9:$E$128,SONDERZAHLUNGEN!$B$9:$B$128,C1151,SONDERZAHLUNGEN!$C$9:$C$128,A1151,SONDERZAHLUNGEN!$H$9:$H$128,"OK",SONDERZAHLUNGEN!$F$9:$F$128,"Ja")))</x:f>
      </x:c>
      <x:c r="H1151" s="88" t="str">
        <x:f>IF(C1151="","",MIN(MAX(0,D1151+E1151-F1151-G1151),MAX(0,IF(MONATSBUDGET!$C$64="",0,MONATSBUDGET!$C$64)-SUM(F1140:F1159)-SUM(H1140:H1150))))</x:f>
      </x:c>
      <x:c r="I1151" s="88" t="str">
        <x:f>IF(C1151="","",MAX(0,ROUND(D1151+E1151-F1151-G1151-H1151,2)))</x:f>
      </x:c>
      <x:c r="J1151" s="88" t="str">
        <x:f>IF(C1151="","",F1151+G1151+H1151)</x:f>
      </x:c>
      <x:c r="K1151" s="88" t="str">
        <x:f>IF(C1151="","",MAX(0,SUMIFS(SONDERZAHLUNGEN!$E$9:$E$128,SONDERZAHLUNGEN!$B$9:$B$128,C1151,SONDERZAHLUNGEN!$C$9:$C$128,A1151,SONDERZAHLUNGEN!$H$9:$H$128,"OK",SONDERZAHLUNGEN!$F$9:$F$128,"Ja")-G1151))</x:f>
      </x:c>
    </x:row>
    <x:row r="1152" ht="19" customHeight="1">
      <x:c r="A1152" s="90" t="n">
        <x:f>MONATSBUDGET!$A$64</x:f>
        <x:v>47939</x:v>
      </x:c>
      <x:c r="B1152" t="n">
        <x:f>13</x:f>
        <x:v>13</x:v>
      </x:c>
      <x:c r="C1152" t="str">
        <x:f>IF($N$21="","",$N$21)</x:f>
      </x:c>
      <x:c r="D1152" s="88" t="str">
        <x:f>IF(C1152="","",I1132)</x:f>
      </x:c>
      <x:c r="E1152" s="88" t="str">
        <x:f>IF(C1152="","",ROUND(D1152*$P$21/12,2))</x:f>
      </x:c>
      <x:c r="F1152" s="88" t="str">
        <x:f>IF(C1152="","",MIN(D1152+E1152,$Q$21))</x:f>
      </x:c>
      <x:c r="G1152" s="88" t="str">
        <x:f>IF(C1152="","",MIN(MAX(0,D1152+E1152-F1152),SUMIFS(SONDERZAHLUNGEN!$E$9:$E$128,SONDERZAHLUNGEN!$B$9:$B$128,C1152,SONDERZAHLUNGEN!$C$9:$C$128,A1152,SONDERZAHLUNGEN!$H$9:$H$128,"OK",SONDERZAHLUNGEN!$F$9:$F$128,"Ja")))</x:f>
      </x:c>
      <x:c r="H1152" s="88" t="str">
        <x:f>IF(C1152="","",MIN(MAX(0,D1152+E1152-F1152-G1152),MAX(0,IF(MONATSBUDGET!$C$64="",0,MONATSBUDGET!$C$64)-SUM(F1140:F1159)-SUM(H1140:H1151))))</x:f>
      </x:c>
      <x:c r="I1152" s="88" t="str">
        <x:f>IF(C1152="","",MAX(0,ROUND(D1152+E1152-F1152-G1152-H1152,2)))</x:f>
      </x:c>
      <x:c r="J1152" s="88" t="str">
        <x:f>IF(C1152="","",F1152+G1152+H1152)</x:f>
      </x:c>
      <x:c r="K1152" s="88" t="str">
        <x:f>IF(C1152="","",MAX(0,SUMIFS(SONDERZAHLUNGEN!$E$9:$E$128,SONDERZAHLUNGEN!$B$9:$B$128,C1152,SONDERZAHLUNGEN!$C$9:$C$128,A1152,SONDERZAHLUNGEN!$H$9:$H$128,"OK",SONDERZAHLUNGEN!$F$9:$F$128,"Ja")-G1152))</x:f>
      </x:c>
    </x:row>
    <x:row r="1153" ht="19" customHeight="1">
      <x:c r="A1153" s="90" t="n">
        <x:f>MONATSBUDGET!$A$64</x:f>
        <x:v>47939</x:v>
      </x:c>
      <x:c r="B1153" t="n">
        <x:f>14</x:f>
        <x:v>14</x:v>
      </x:c>
      <x:c r="C1153" t="str">
        <x:f>IF($N$22="","",$N$22)</x:f>
      </x:c>
      <x:c r="D1153" s="88" t="str">
        <x:f>IF(C1153="","",I1133)</x:f>
      </x:c>
      <x:c r="E1153" s="88" t="str">
        <x:f>IF(C1153="","",ROUND(D1153*$P$22/12,2))</x:f>
      </x:c>
      <x:c r="F1153" s="88" t="str">
        <x:f>IF(C1153="","",MIN(D1153+E1153,$Q$22))</x:f>
      </x:c>
      <x:c r="G1153" s="88" t="str">
        <x:f>IF(C1153="","",MIN(MAX(0,D1153+E1153-F1153),SUMIFS(SONDERZAHLUNGEN!$E$9:$E$128,SONDERZAHLUNGEN!$B$9:$B$128,C1153,SONDERZAHLUNGEN!$C$9:$C$128,A1153,SONDERZAHLUNGEN!$H$9:$H$128,"OK",SONDERZAHLUNGEN!$F$9:$F$128,"Ja")))</x:f>
      </x:c>
      <x:c r="H1153" s="88" t="str">
        <x:f>IF(C1153="","",MIN(MAX(0,D1153+E1153-F1153-G1153),MAX(0,IF(MONATSBUDGET!$C$64="",0,MONATSBUDGET!$C$64)-SUM(F1140:F1159)-SUM(H1140:H1152))))</x:f>
      </x:c>
      <x:c r="I1153" s="88" t="str">
        <x:f>IF(C1153="","",MAX(0,ROUND(D1153+E1153-F1153-G1153-H1153,2)))</x:f>
      </x:c>
      <x:c r="J1153" s="88" t="str">
        <x:f>IF(C1153="","",F1153+G1153+H1153)</x:f>
      </x:c>
      <x:c r="K1153" s="88" t="str">
        <x:f>IF(C1153="","",MAX(0,SUMIFS(SONDERZAHLUNGEN!$E$9:$E$128,SONDERZAHLUNGEN!$B$9:$B$128,C1153,SONDERZAHLUNGEN!$C$9:$C$128,A1153,SONDERZAHLUNGEN!$H$9:$H$128,"OK",SONDERZAHLUNGEN!$F$9:$F$128,"Ja")-G1153))</x:f>
      </x:c>
    </x:row>
    <x:row r="1154" ht="19" customHeight="1">
      <x:c r="A1154" s="90" t="n">
        <x:f>MONATSBUDGET!$A$64</x:f>
        <x:v>47939</x:v>
      </x:c>
      <x:c r="B1154" t="n">
        <x:f>15</x:f>
        <x:v>15</x:v>
      </x:c>
      <x:c r="C1154" t="str">
        <x:f>IF($N$23="","",$N$23)</x:f>
      </x:c>
      <x:c r="D1154" s="88" t="str">
        <x:f>IF(C1154="","",I1134)</x:f>
      </x:c>
      <x:c r="E1154" s="88" t="str">
        <x:f>IF(C1154="","",ROUND(D1154*$P$23/12,2))</x:f>
      </x:c>
      <x:c r="F1154" s="88" t="str">
        <x:f>IF(C1154="","",MIN(D1154+E1154,$Q$23))</x:f>
      </x:c>
      <x:c r="G1154" s="88" t="str">
        <x:f>IF(C1154="","",MIN(MAX(0,D1154+E1154-F1154),SUMIFS(SONDERZAHLUNGEN!$E$9:$E$128,SONDERZAHLUNGEN!$B$9:$B$128,C1154,SONDERZAHLUNGEN!$C$9:$C$128,A1154,SONDERZAHLUNGEN!$H$9:$H$128,"OK",SONDERZAHLUNGEN!$F$9:$F$128,"Ja")))</x:f>
      </x:c>
      <x:c r="H1154" s="88" t="str">
        <x:f>IF(C1154="","",MIN(MAX(0,D1154+E1154-F1154-G1154),MAX(0,IF(MONATSBUDGET!$C$64="",0,MONATSBUDGET!$C$64)-SUM(F1140:F1159)-SUM(H1140:H1153))))</x:f>
      </x:c>
      <x:c r="I1154" s="88" t="str">
        <x:f>IF(C1154="","",MAX(0,ROUND(D1154+E1154-F1154-G1154-H1154,2)))</x:f>
      </x:c>
      <x:c r="J1154" s="88" t="str">
        <x:f>IF(C1154="","",F1154+G1154+H1154)</x:f>
      </x:c>
      <x:c r="K1154" s="88" t="str">
        <x:f>IF(C1154="","",MAX(0,SUMIFS(SONDERZAHLUNGEN!$E$9:$E$128,SONDERZAHLUNGEN!$B$9:$B$128,C1154,SONDERZAHLUNGEN!$C$9:$C$128,A1154,SONDERZAHLUNGEN!$H$9:$H$128,"OK",SONDERZAHLUNGEN!$F$9:$F$128,"Ja")-G1154))</x:f>
      </x:c>
    </x:row>
    <x:row r="1155" ht="19" customHeight="1">
      <x:c r="A1155" s="90" t="n">
        <x:f>MONATSBUDGET!$A$64</x:f>
        <x:v>47939</x:v>
      </x:c>
      <x:c r="B1155" t="n">
        <x:f>16</x:f>
        <x:v>16</x:v>
      </x:c>
      <x:c r="C1155" t="str">
        <x:f>IF($N$24="","",$N$24)</x:f>
      </x:c>
      <x:c r="D1155" s="88" t="str">
        <x:f>IF(C1155="","",I1135)</x:f>
      </x:c>
      <x:c r="E1155" s="88" t="str">
        <x:f>IF(C1155="","",ROUND(D1155*$P$24/12,2))</x:f>
      </x:c>
      <x:c r="F1155" s="88" t="str">
        <x:f>IF(C1155="","",MIN(D1155+E1155,$Q$24))</x:f>
      </x:c>
      <x:c r="G1155" s="88" t="str">
        <x:f>IF(C1155="","",MIN(MAX(0,D1155+E1155-F1155),SUMIFS(SONDERZAHLUNGEN!$E$9:$E$128,SONDERZAHLUNGEN!$B$9:$B$128,C1155,SONDERZAHLUNGEN!$C$9:$C$128,A1155,SONDERZAHLUNGEN!$H$9:$H$128,"OK",SONDERZAHLUNGEN!$F$9:$F$128,"Ja")))</x:f>
      </x:c>
      <x:c r="H1155" s="88" t="str">
        <x:f>IF(C1155="","",MIN(MAX(0,D1155+E1155-F1155-G1155),MAX(0,IF(MONATSBUDGET!$C$64="",0,MONATSBUDGET!$C$64)-SUM(F1140:F1159)-SUM(H1140:H1154))))</x:f>
      </x:c>
      <x:c r="I1155" s="88" t="str">
        <x:f>IF(C1155="","",MAX(0,ROUND(D1155+E1155-F1155-G1155-H1155,2)))</x:f>
      </x:c>
      <x:c r="J1155" s="88" t="str">
        <x:f>IF(C1155="","",F1155+G1155+H1155)</x:f>
      </x:c>
      <x:c r="K1155" s="88" t="str">
        <x:f>IF(C1155="","",MAX(0,SUMIFS(SONDERZAHLUNGEN!$E$9:$E$128,SONDERZAHLUNGEN!$B$9:$B$128,C1155,SONDERZAHLUNGEN!$C$9:$C$128,A1155,SONDERZAHLUNGEN!$H$9:$H$128,"OK",SONDERZAHLUNGEN!$F$9:$F$128,"Ja")-G1155))</x:f>
      </x:c>
    </x:row>
    <x:row r="1156" ht="19" customHeight="1">
      <x:c r="A1156" s="90" t="n">
        <x:f>MONATSBUDGET!$A$64</x:f>
        <x:v>47939</x:v>
      </x:c>
      <x:c r="B1156" t="n">
        <x:f>17</x:f>
        <x:v>17</x:v>
      </x:c>
      <x:c r="C1156" t="str">
        <x:f>IF($N$25="","",$N$25)</x:f>
      </x:c>
      <x:c r="D1156" s="88" t="str">
        <x:f>IF(C1156="","",I1136)</x:f>
      </x:c>
      <x:c r="E1156" s="88" t="str">
        <x:f>IF(C1156="","",ROUND(D1156*$P$25/12,2))</x:f>
      </x:c>
      <x:c r="F1156" s="88" t="str">
        <x:f>IF(C1156="","",MIN(D1156+E1156,$Q$25))</x:f>
      </x:c>
      <x:c r="G1156" s="88" t="str">
        <x:f>IF(C1156="","",MIN(MAX(0,D1156+E1156-F1156),SUMIFS(SONDERZAHLUNGEN!$E$9:$E$128,SONDERZAHLUNGEN!$B$9:$B$128,C1156,SONDERZAHLUNGEN!$C$9:$C$128,A1156,SONDERZAHLUNGEN!$H$9:$H$128,"OK",SONDERZAHLUNGEN!$F$9:$F$128,"Ja")))</x:f>
      </x:c>
      <x:c r="H1156" s="88" t="str">
        <x:f>IF(C1156="","",MIN(MAX(0,D1156+E1156-F1156-G1156),MAX(0,IF(MONATSBUDGET!$C$64="",0,MONATSBUDGET!$C$64)-SUM(F1140:F1159)-SUM(H1140:H1155))))</x:f>
      </x:c>
      <x:c r="I1156" s="88" t="str">
        <x:f>IF(C1156="","",MAX(0,ROUND(D1156+E1156-F1156-G1156-H1156,2)))</x:f>
      </x:c>
      <x:c r="J1156" s="88" t="str">
        <x:f>IF(C1156="","",F1156+G1156+H1156)</x:f>
      </x:c>
      <x:c r="K1156" s="88" t="str">
        <x:f>IF(C1156="","",MAX(0,SUMIFS(SONDERZAHLUNGEN!$E$9:$E$128,SONDERZAHLUNGEN!$B$9:$B$128,C1156,SONDERZAHLUNGEN!$C$9:$C$128,A1156,SONDERZAHLUNGEN!$H$9:$H$128,"OK",SONDERZAHLUNGEN!$F$9:$F$128,"Ja")-G1156))</x:f>
      </x:c>
    </x:row>
    <x:row r="1157" ht="19" customHeight="1">
      <x:c r="A1157" s="90" t="n">
        <x:f>MONATSBUDGET!$A$64</x:f>
        <x:v>47939</x:v>
      </x:c>
      <x:c r="B1157" t="n">
        <x:f>18</x:f>
        <x:v>18</x:v>
      </x:c>
      <x:c r="C1157" t="str">
        <x:f>IF($N$26="","",$N$26)</x:f>
      </x:c>
      <x:c r="D1157" s="88" t="str">
        <x:f>IF(C1157="","",I1137)</x:f>
      </x:c>
      <x:c r="E1157" s="88" t="str">
        <x:f>IF(C1157="","",ROUND(D1157*$P$26/12,2))</x:f>
      </x:c>
      <x:c r="F1157" s="88" t="str">
        <x:f>IF(C1157="","",MIN(D1157+E1157,$Q$26))</x:f>
      </x:c>
      <x:c r="G1157" s="88" t="str">
        <x:f>IF(C1157="","",MIN(MAX(0,D1157+E1157-F1157),SUMIFS(SONDERZAHLUNGEN!$E$9:$E$128,SONDERZAHLUNGEN!$B$9:$B$128,C1157,SONDERZAHLUNGEN!$C$9:$C$128,A1157,SONDERZAHLUNGEN!$H$9:$H$128,"OK",SONDERZAHLUNGEN!$F$9:$F$128,"Ja")))</x:f>
      </x:c>
      <x:c r="H1157" s="88" t="str">
        <x:f>IF(C1157="","",MIN(MAX(0,D1157+E1157-F1157-G1157),MAX(0,IF(MONATSBUDGET!$C$64="",0,MONATSBUDGET!$C$64)-SUM(F1140:F1159)-SUM(H1140:H1156))))</x:f>
      </x:c>
      <x:c r="I1157" s="88" t="str">
        <x:f>IF(C1157="","",MAX(0,ROUND(D1157+E1157-F1157-G1157-H1157,2)))</x:f>
      </x:c>
      <x:c r="J1157" s="88" t="str">
        <x:f>IF(C1157="","",F1157+G1157+H1157)</x:f>
      </x:c>
      <x:c r="K1157" s="88" t="str">
        <x:f>IF(C1157="","",MAX(0,SUMIFS(SONDERZAHLUNGEN!$E$9:$E$128,SONDERZAHLUNGEN!$B$9:$B$128,C1157,SONDERZAHLUNGEN!$C$9:$C$128,A1157,SONDERZAHLUNGEN!$H$9:$H$128,"OK",SONDERZAHLUNGEN!$F$9:$F$128,"Ja")-G1157))</x:f>
      </x:c>
    </x:row>
    <x:row r="1158" ht="19" customHeight="1">
      <x:c r="A1158" s="90" t="n">
        <x:f>MONATSBUDGET!$A$64</x:f>
        <x:v>47939</x:v>
      </x:c>
      <x:c r="B1158" t="n">
        <x:f>19</x:f>
        <x:v>19</x:v>
      </x:c>
      <x:c r="C1158" t="str">
        <x:f>IF($N$27="","",$N$27)</x:f>
      </x:c>
      <x:c r="D1158" s="88" t="str">
        <x:f>IF(C1158="","",I1138)</x:f>
      </x:c>
      <x:c r="E1158" s="88" t="str">
        <x:f>IF(C1158="","",ROUND(D1158*$P$27/12,2))</x:f>
      </x:c>
      <x:c r="F1158" s="88" t="str">
        <x:f>IF(C1158="","",MIN(D1158+E1158,$Q$27))</x:f>
      </x:c>
      <x:c r="G1158" s="88" t="str">
        <x:f>IF(C1158="","",MIN(MAX(0,D1158+E1158-F1158),SUMIFS(SONDERZAHLUNGEN!$E$9:$E$128,SONDERZAHLUNGEN!$B$9:$B$128,C1158,SONDERZAHLUNGEN!$C$9:$C$128,A1158,SONDERZAHLUNGEN!$H$9:$H$128,"OK",SONDERZAHLUNGEN!$F$9:$F$128,"Ja")))</x:f>
      </x:c>
      <x:c r="H1158" s="88" t="str">
        <x:f>IF(C1158="","",MIN(MAX(0,D1158+E1158-F1158-G1158),MAX(0,IF(MONATSBUDGET!$C$64="",0,MONATSBUDGET!$C$64)-SUM(F1140:F1159)-SUM(H1140:H1157))))</x:f>
      </x:c>
      <x:c r="I1158" s="88" t="str">
        <x:f>IF(C1158="","",MAX(0,ROUND(D1158+E1158-F1158-G1158-H1158,2)))</x:f>
      </x:c>
      <x:c r="J1158" s="88" t="str">
        <x:f>IF(C1158="","",F1158+G1158+H1158)</x:f>
      </x:c>
      <x:c r="K1158" s="88" t="str">
        <x:f>IF(C1158="","",MAX(0,SUMIFS(SONDERZAHLUNGEN!$E$9:$E$128,SONDERZAHLUNGEN!$B$9:$B$128,C1158,SONDERZAHLUNGEN!$C$9:$C$128,A1158,SONDERZAHLUNGEN!$H$9:$H$128,"OK",SONDERZAHLUNGEN!$F$9:$F$128,"Ja")-G1158))</x:f>
      </x:c>
    </x:row>
    <x:row r="1159" ht="19" customHeight="1">
      <x:c r="A1159" s="90" t="n">
        <x:f>MONATSBUDGET!$A$64</x:f>
        <x:v>47939</x:v>
      </x:c>
      <x:c r="B1159" t="n">
        <x:f>20</x:f>
        <x:v>20</x:v>
      </x:c>
      <x:c r="C1159" t="str">
        <x:f>IF($N$28="","",$N$28)</x:f>
      </x:c>
      <x:c r="D1159" s="88" t="str">
        <x:f>IF(C1159="","",I1139)</x:f>
      </x:c>
      <x:c r="E1159" s="88" t="str">
        <x:f>IF(C1159="","",ROUND(D1159*$P$28/12,2))</x:f>
      </x:c>
      <x:c r="F1159" s="88" t="str">
        <x:f>IF(C1159="","",MIN(D1159+E1159,$Q$28))</x:f>
      </x:c>
      <x:c r="G1159" s="88" t="str">
        <x:f>IF(C1159="","",MIN(MAX(0,D1159+E1159-F1159),SUMIFS(SONDERZAHLUNGEN!$E$9:$E$128,SONDERZAHLUNGEN!$B$9:$B$128,C1159,SONDERZAHLUNGEN!$C$9:$C$128,A1159,SONDERZAHLUNGEN!$H$9:$H$128,"OK",SONDERZAHLUNGEN!$F$9:$F$128,"Ja")))</x:f>
      </x:c>
      <x:c r="H1159" s="88" t="str">
        <x:f>IF(C1159="","",MIN(MAX(0,D1159+E1159-F1159-G1159),MAX(0,IF(MONATSBUDGET!$C$64="",0,MONATSBUDGET!$C$64)-SUM(F1140:F1159)-SUM(H1140:H1158))))</x:f>
      </x:c>
      <x:c r="I1159" s="88" t="str">
        <x:f>IF(C1159="","",MAX(0,ROUND(D1159+E1159-F1159-G1159-H1159,2)))</x:f>
      </x:c>
      <x:c r="J1159" s="88" t="str">
        <x:f>IF(C1159="","",F1159+G1159+H1159)</x:f>
      </x:c>
      <x:c r="K1159" s="88" t="str">
        <x:f>IF(C1159="","",MAX(0,SUMIFS(SONDERZAHLUNGEN!$E$9:$E$128,SONDERZAHLUNGEN!$B$9:$B$128,C1159,SONDERZAHLUNGEN!$C$9:$C$128,A1159,SONDERZAHLUNGEN!$H$9:$H$128,"OK",SONDERZAHLUNGEN!$F$9:$F$128,"Ja")-G1159))</x:f>
      </x:c>
    </x:row>
    <x:row r="1160" ht="19" customHeight="1">
      <x:c r="A1160" s="90" t="n">
        <x:f>MONATSBUDGET!$A$65</x:f>
        <x:v>47969</x:v>
      </x:c>
      <x:c r="B1160" t="n">
        <x:f>1</x:f>
        <x:v>1</x:v>
      </x:c>
      <x:c r="C1160" t="str">
        <x:f>IF($N$9="","",$N$9)</x:f>
      </x:c>
      <x:c r="D1160" s="88" t="str">
        <x:f>IF(C1160="","",I1140)</x:f>
      </x:c>
      <x:c r="E1160" s="88" t="str">
        <x:f>IF(C1160="","",ROUND(D1160*$P$9/12,2))</x:f>
      </x:c>
      <x:c r="F1160" s="88" t="str">
        <x:f>IF(C1160="","",MIN(D1160+E1160,$Q$9))</x:f>
      </x:c>
      <x:c r="G1160" s="88" t="str">
        <x:f>IF(C1160="","",MIN(MAX(0,D1160+E1160-F1160),SUMIFS(SONDERZAHLUNGEN!$E$9:$E$128,SONDERZAHLUNGEN!$B$9:$B$128,C1160,SONDERZAHLUNGEN!$C$9:$C$128,A1160,SONDERZAHLUNGEN!$H$9:$H$128,"OK",SONDERZAHLUNGEN!$F$9:$F$128,"Ja")))</x:f>
      </x:c>
      <x:c r="H1160" s="88" t="str">
        <x:f>IF(C1160="","",MIN(MAX(0,D1160+E1160-F1160-G1160),MAX(0,IF(MONATSBUDGET!$C$65="",0,MONATSBUDGET!$C$65)-SUM(F1160:F1179)-0)))</x:f>
      </x:c>
      <x:c r="I1160" s="88" t="str">
        <x:f>IF(C1160="","",MAX(0,ROUND(D1160+E1160-F1160-G1160-H1160,2)))</x:f>
      </x:c>
      <x:c r="J1160" s="88" t="str">
        <x:f>IF(C1160="","",F1160+G1160+H1160)</x:f>
      </x:c>
      <x:c r="K1160" s="88" t="str">
        <x:f>IF(C1160="","",MAX(0,SUMIFS(SONDERZAHLUNGEN!$E$9:$E$128,SONDERZAHLUNGEN!$B$9:$B$128,C1160,SONDERZAHLUNGEN!$C$9:$C$128,A1160,SONDERZAHLUNGEN!$H$9:$H$128,"OK",SONDERZAHLUNGEN!$F$9:$F$128,"Ja")-G1160))</x:f>
      </x:c>
    </x:row>
    <x:row r="1161" ht="19" customHeight="1">
      <x:c r="A1161" s="90" t="n">
        <x:f>MONATSBUDGET!$A$65</x:f>
        <x:v>47969</x:v>
      </x:c>
      <x:c r="B1161" t="n">
        <x:f>2</x:f>
        <x:v>2</x:v>
      </x:c>
      <x:c r="C1161" t="str">
        <x:f>IF($N$10="","",$N$10)</x:f>
      </x:c>
      <x:c r="D1161" s="88" t="str">
        <x:f>IF(C1161="","",I1141)</x:f>
      </x:c>
      <x:c r="E1161" s="88" t="str">
        <x:f>IF(C1161="","",ROUND(D1161*$P$10/12,2))</x:f>
      </x:c>
      <x:c r="F1161" s="88" t="str">
        <x:f>IF(C1161="","",MIN(D1161+E1161,$Q$10))</x:f>
      </x:c>
      <x:c r="G1161" s="88" t="str">
        <x:f>IF(C1161="","",MIN(MAX(0,D1161+E1161-F1161),SUMIFS(SONDERZAHLUNGEN!$E$9:$E$128,SONDERZAHLUNGEN!$B$9:$B$128,C1161,SONDERZAHLUNGEN!$C$9:$C$128,A1161,SONDERZAHLUNGEN!$H$9:$H$128,"OK",SONDERZAHLUNGEN!$F$9:$F$128,"Ja")))</x:f>
      </x:c>
      <x:c r="H1161" s="88" t="str">
        <x:f>IF(C1161="","",MIN(MAX(0,D1161+E1161-F1161-G1161),MAX(0,IF(MONATSBUDGET!$C$65="",0,MONATSBUDGET!$C$65)-SUM(F1160:F1179)-SUM(H1160:H1160))))</x:f>
      </x:c>
      <x:c r="I1161" s="88" t="str">
        <x:f>IF(C1161="","",MAX(0,ROUND(D1161+E1161-F1161-G1161-H1161,2)))</x:f>
      </x:c>
      <x:c r="J1161" s="88" t="str">
        <x:f>IF(C1161="","",F1161+G1161+H1161)</x:f>
      </x:c>
      <x:c r="K1161" s="88" t="str">
        <x:f>IF(C1161="","",MAX(0,SUMIFS(SONDERZAHLUNGEN!$E$9:$E$128,SONDERZAHLUNGEN!$B$9:$B$128,C1161,SONDERZAHLUNGEN!$C$9:$C$128,A1161,SONDERZAHLUNGEN!$H$9:$H$128,"OK",SONDERZAHLUNGEN!$F$9:$F$128,"Ja")-G1161))</x:f>
      </x:c>
    </x:row>
    <x:row r="1162" ht="19" customHeight="1">
      <x:c r="A1162" s="90" t="n">
        <x:f>MONATSBUDGET!$A$65</x:f>
        <x:v>47969</x:v>
      </x:c>
      <x:c r="B1162" t="n">
        <x:f>3</x:f>
        <x:v>3</x:v>
      </x:c>
      <x:c r="C1162" t="str">
        <x:f>IF($N$11="","",$N$11)</x:f>
      </x:c>
      <x:c r="D1162" s="88" t="str">
        <x:f>IF(C1162="","",I1142)</x:f>
      </x:c>
      <x:c r="E1162" s="88" t="str">
        <x:f>IF(C1162="","",ROUND(D1162*$P$11/12,2))</x:f>
      </x:c>
      <x:c r="F1162" s="88" t="str">
        <x:f>IF(C1162="","",MIN(D1162+E1162,$Q$11))</x:f>
      </x:c>
      <x:c r="G1162" s="88" t="str">
        <x:f>IF(C1162="","",MIN(MAX(0,D1162+E1162-F1162),SUMIFS(SONDERZAHLUNGEN!$E$9:$E$128,SONDERZAHLUNGEN!$B$9:$B$128,C1162,SONDERZAHLUNGEN!$C$9:$C$128,A1162,SONDERZAHLUNGEN!$H$9:$H$128,"OK",SONDERZAHLUNGEN!$F$9:$F$128,"Ja")))</x:f>
      </x:c>
      <x:c r="H1162" s="88" t="str">
        <x:f>IF(C1162="","",MIN(MAX(0,D1162+E1162-F1162-G1162),MAX(0,IF(MONATSBUDGET!$C$65="",0,MONATSBUDGET!$C$65)-SUM(F1160:F1179)-SUM(H1160:H1161))))</x:f>
      </x:c>
      <x:c r="I1162" s="88" t="str">
        <x:f>IF(C1162="","",MAX(0,ROUND(D1162+E1162-F1162-G1162-H1162,2)))</x:f>
      </x:c>
      <x:c r="J1162" s="88" t="str">
        <x:f>IF(C1162="","",F1162+G1162+H1162)</x:f>
      </x:c>
      <x:c r="K1162" s="88" t="str">
        <x:f>IF(C1162="","",MAX(0,SUMIFS(SONDERZAHLUNGEN!$E$9:$E$128,SONDERZAHLUNGEN!$B$9:$B$128,C1162,SONDERZAHLUNGEN!$C$9:$C$128,A1162,SONDERZAHLUNGEN!$H$9:$H$128,"OK",SONDERZAHLUNGEN!$F$9:$F$128,"Ja")-G1162))</x:f>
      </x:c>
    </x:row>
    <x:row r="1163" ht="19" customHeight="1">
      <x:c r="A1163" s="90" t="n">
        <x:f>MONATSBUDGET!$A$65</x:f>
        <x:v>47969</x:v>
      </x:c>
      <x:c r="B1163" t="n">
        <x:f>4</x:f>
        <x:v>4</x:v>
      </x:c>
      <x:c r="C1163" t="str">
        <x:f>IF($N$12="","",$N$12)</x:f>
      </x:c>
      <x:c r="D1163" s="88" t="str">
        <x:f>IF(C1163="","",I1143)</x:f>
      </x:c>
      <x:c r="E1163" s="88" t="str">
        <x:f>IF(C1163="","",ROUND(D1163*$P$12/12,2))</x:f>
      </x:c>
      <x:c r="F1163" s="88" t="str">
        <x:f>IF(C1163="","",MIN(D1163+E1163,$Q$12))</x:f>
      </x:c>
      <x:c r="G1163" s="88" t="str">
        <x:f>IF(C1163="","",MIN(MAX(0,D1163+E1163-F1163),SUMIFS(SONDERZAHLUNGEN!$E$9:$E$128,SONDERZAHLUNGEN!$B$9:$B$128,C1163,SONDERZAHLUNGEN!$C$9:$C$128,A1163,SONDERZAHLUNGEN!$H$9:$H$128,"OK",SONDERZAHLUNGEN!$F$9:$F$128,"Ja")))</x:f>
      </x:c>
      <x:c r="H1163" s="88" t="str">
        <x:f>IF(C1163="","",MIN(MAX(0,D1163+E1163-F1163-G1163),MAX(0,IF(MONATSBUDGET!$C$65="",0,MONATSBUDGET!$C$65)-SUM(F1160:F1179)-SUM(H1160:H1162))))</x:f>
      </x:c>
      <x:c r="I1163" s="88" t="str">
        <x:f>IF(C1163="","",MAX(0,ROUND(D1163+E1163-F1163-G1163-H1163,2)))</x:f>
      </x:c>
      <x:c r="J1163" s="88" t="str">
        <x:f>IF(C1163="","",F1163+G1163+H1163)</x:f>
      </x:c>
      <x:c r="K1163" s="88" t="str">
        <x:f>IF(C1163="","",MAX(0,SUMIFS(SONDERZAHLUNGEN!$E$9:$E$128,SONDERZAHLUNGEN!$B$9:$B$128,C1163,SONDERZAHLUNGEN!$C$9:$C$128,A1163,SONDERZAHLUNGEN!$H$9:$H$128,"OK",SONDERZAHLUNGEN!$F$9:$F$128,"Ja")-G1163))</x:f>
      </x:c>
    </x:row>
    <x:row r="1164" ht="19" customHeight="1">
      <x:c r="A1164" s="90" t="n">
        <x:f>MONATSBUDGET!$A$65</x:f>
        <x:v>47969</x:v>
      </x:c>
      <x:c r="B1164" t="n">
        <x:f>5</x:f>
        <x:v>5</x:v>
      </x:c>
      <x:c r="C1164" t="str">
        <x:f>IF($N$13="","",$N$13)</x:f>
      </x:c>
      <x:c r="D1164" s="88" t="str">
        <x:f>IF(C1164="","",I1144)</x:f>
      </x:c>
      <x:c r="E1164" s="88" t="str">
        <x:f>IF(C1164="","",ROUND(D1164*$P$13/12,2))</x:f>
      </x:c>
      <x:c r="F1164" s="88" t="str">
        <x:f>IF(C1164="","",MIN(D1164+E1164,$Q$13))</x:f>
      </x:c>
      <x:c r="G1164" s="88" t="str">
        <x:f>IF(C1164="","",MIN(MAX(0,D1164+E1164-F1164),SUMIFS(SONDERZAHLUNGEN!$E$9:$E$128,SONDERZAHLUNGEN!$B$9:$B$128,C1164,SONDERZAHLUNGEN!$C$9:$C$128,A1164,SONDERZAHLUNGEN!$H$9:$H$128,"OK",SONDERZAHLUNGEN!$F$9:$F$128,"Ja")))</x:f>
      </x:c>
      <x:c r="H1164" s="88" t="str">
        <x:f>IF(C1164="","",MIN(MAX(0,D1164+E1164-F1164-G1164),MAX(0,IF(MONATSBUDGET!$C$65="",0,MONATSBUDGET!$C$65)-SUM(F1160:F1179)-SUM(H1160:H1163))))</x:f>
      </x:c>
      <x:c r="I1164" s="88" t="str">
        <x:f>IF(C1164="","",MAX(0,ROUND(D1164+E1164-F1164-G1164-H1164,2)))</x:f>
      </x:c>
      <x:c r="J1164" s="88" t="str">
        <x:f>IF(C1164="","",F1164+G1164+H1164)</x:f>
      </x:c>
      <x:c r="K1164" s="88" t="str">
        <x:f>IF(C1164="","",MAX(0,SUMIFS(SONDERZAHLUNGEN!$E$9:$E$128,SONDERZAHLUNGEN!$B$9:$B$128,C1164,SONDERZAHLUNGEN!$C$9:$C$128,A1164,SONDERZAHLUNGEN!$H$9:$H$128,"OK",SONDERZAHLUNGEN!$F$9:$F$128,"Ja")-G1164))</x:f>
      </x:c>
    </x:row>
    <x:row r="1165" ht="19" customHeight="1">
      <x:c r="A1165" s="90" t="n">
        <x:f>MONATSBUDGET!$A$65</x:f>
        <x:v>47969</x:v>
      </x:c>
      <x:c r="B1165" t="n">
        <x:f>6</x:f>
        <x:v>6</x:v>
      </x:c>
      <x:c r="C1165" t="str">
        <x:f>IF($N$14="","",$N$14)</x:f>
      </x:c>
      <x:c r="D1165" s="88" t="str">
        <x:f>IF(C1165="","",I1145)</x:f>
      </x:c>
      <x:c r="E1165" s="88" t="str">
        <x:f>IF(C1165="","",ROUND(D1165*$P$14/12,2))</x:f>
      </x:c>
      <x:c r="F1165" s="88" t="str">
        <x:f>IF(C1165="","",MIN(D1165+E1165,$Q$14))</x:f>
      </x:c>
      <x:c r="G1165" s="88" t="str">
        <x:f>IF(C1165="","",MIN(MAX(0,D1165+E1165-F1165),SUMIFS(SONDERZAHLUNGEN!$E$9:$E$128,SONDERZAHLUNGEN!$B$9:$B$128,C1165,SONDERZAHLUNGEN!$C$9:$C$128,A1165,SONDERZAHLUNGEN!$H$9:$H$128,"OK",SONDERZAHLUNGEN!$F$9:$F$128,"Ja")))</x:f>
      </x:c>
      <x:c r="H1165" s="88" t="str">
        <x:f>IF(C1165="","",MIN(MAX(0,D1165+E1165-F1165-G1165),MAX(0,IF(MONATSBUDGET!$C$65="",0,MONATSBUDGET!$C$65)-SUM(F1160:F1179)-SUM(H1160:H1164))))</x:f>
      </x:c>
      <x:c r="I1165" s="88" t="str">
        <x:f>IF(C1165="","",MAX(0,ROUND(D1165+E1165-F1165-G1165-H1165,2)))</x:f>
      </x:c>
      <x:c r="J1165" s="88" t="str">
        <x:f>IF(C1165="","",F1165+G1165+H1165)</x:f>
      </x:c>
      <x:c r="K1165" s="88" t="str">
        <x:f>IF(C1165="","",MAX(0,SUMIFS(SONDERZAHLUNGEN!$E$9:$E$128,SONDERZAHLUNGEN!$B$9:$B$128,C1165,SONDERZAHLUNGEN!$C$9:$C$128,A1165,SONDERZAHLUNGEN!$H$9:$H$128,"OK",SONDERZAHLUNGEN!$F$9:$F$128,"Ja")-G1165))</x:f>
      </x:c>
    </x:row>
    <x:row r="1166" ht="19" customHeight="1">
      <x:c r="A1166" s="90" t="n">
        <x:f>MONATSBUDGET!$A$65</x:f>
        <x:v>47969</x:v>
      </x:c>
      <x:c r="B1166" t="n">
        <x:f>7</x:f>
        <x:v>7</x:v>
      </x:c>
      <x:c r="C1166" t="str">
        <x:f>IF($N$15="","",$N$15)</x:f>
      </x:c>
      <x:c r="D1166" s="88" t="str">
        <x:f>IF(C1166="","",I1146)</x:f>
      </x:c>
      <x:c r="E1166" s="88" t="str">
        <x:f>IF(C1166="","",ROUND(D1166*$P$15/12,2))</x:f>
      </x:c>
      <x:c r="F1166" s="88" t="str">
        <x:f>IF(C1166="","",MIN(D1166+E1166,$Q$15))</x:f>
      </x:c>
      <x:c r="G1166" s="88" t="str">
        <x:f>IF(C1166="","",MIN(MAX(0,D1166+E1166-F1166),SUMIFS(SONDERZAHLUNGEN!$E$9:$E$128,SONDERZAHLUNGEN!$B$9:$B$128,C1166,SONDERZAHLUNGEN!$C$9:$C$128,A1166,SONDERZAHLUNGEN!$H$9:$H$128,"OK",SONDERZAHLUNGEN!$F$9:$F$128,"Ja")))</x:f>
      </x:c>
      <x:c r="H1166" s="88" t="str">
        <x:f>IF(C1166="","",MIN(MAX(0,D1166+E1166-F1166-G1166),MAX(0,IF(MONATSBUDGET!$C$65="",0,MONATSBUDGET!$C$65)-SUM(F1160:F1179)-SUM(H1160:H1165))))</x:f>
      </x:c>
      <x:c r="I1166" s="88" t="str">
        <x:f>IF(C1166="","",MAX(0,ROUND(D1166+E1166-F1166-G1166-H1166,2)))</x:f>
      </x:c>
      <x:c r="J1166" s="88" t="str">
        <x:f>IF(C1166="","",F1166+G1166+H1166)</x:f>
      </x:c>
      <x:c r="K1166" s="88" t="str">
        <x:f>IF(C1166="","",MAX(0,SUMIFS(SONDERZAHLUNGEN!$E$9:$E$128,SONDERZAHLUNGEN!$B$9:$B$128,C1166,SONDERZAHLUNGEN!$C$9:$C$128,A1166,SONDERZAHLUNGEN!$H$9:$H$128,"OK",SONDERZAHLUNGEN!$F$9:$F$128,"Ja")-G1166))</x:f>
      </x:c>
    </x:row>
    <x:row r="1167" ht="19" customHeight="1">
      <x:c r="A1167" s="90" t="n">
        <x:f>MONATSBUDGET!$A$65</x:f>
        <x:v>47969</x:v>
      </x:c>
      <x:c r="B1167" t="n">
        <x:f>8</x:f>
        <x:v>8</x:v>
      </x:c>
      <x:c r="C1167" t="str">
        <x:f>IF($N$16="","",$N$16)</x:f>
      </x:c>
      <x:c r="D1167" s="88" t="str">
        <x:f>IF(C1167="","",I1147)</x:f>
      </x:c>
      <x:c r="E1167" s="88" t="str">
        <x:f>IF(C1167="","",ROUND(D1167*$P$16/12,2))</x:f>
      </x:c>
      <x:c r="F1167" s="88" t="str">
        <x:f>IF(C1167="","",MIN(D1167+E1167,$Q$16))</x:f>
      </x:c>
      <x:c r="G1167" s="88" t="str">
        <x:f>IF(C1167="","",MIN(MAX(0,D1167+E1167-F1167),SUMIFS(SONDERZAHLUNGEN!$E$9:$E$128,SONDERZAHLUNGEN!$B$9:$B$128,C1167,SONDERZAHLUNGEN!$C$9:$C$128,A1167,SONDERZAHLUNGEN!$H$9:$H$128,"OK",SONDERZAHLUNGEN!$F$9:$F$128,"Ja")))</x:f>
      </x:c>
      <x:c r="H1167" s="88" t="str">
        <x:f>IF(C1167="","",MIN(MAX(0,D1167+E1167-F1167-G1167),MAX(0,IF(MONATSBUDGET!$C$65="",0,MONATSBUDGET!$C$65)-SUM(F1160:F1179)-SUM(H1160:H1166))))</x:f>
      </x:c>
      <x:c r="I1167" s="88" t="str">
        <x:f>IF(C1167="","",MAX(0,ROUND(D1167+E1167-F1167-G1167-H1167,2)))</x:f>
      </x:c>
      <x:c r="J1167" s="88" t="str">
        <x:f>IF(C1167="","",F1167+G1167+H1167)</x:f>
      </x:c>
      <x:c r="K1167" s="88" t="str">
        <x:f>IF(C1167="","",MAX(0,SUMIFS(SONDERZAHLUNGEN!$E$9:$E$128,SONDERZAHLUNGEN!$B$9:$B$128,C1167,SONDERZAHLUNGEN!$C$9:$C$128,A1167,SONDERZAHLUNGEN!$H$9:$H$128,"OK",SONDERZAHLUNGEN!$F$9:$F$128,"Ja")-G1167))</x:f>
      </x:c>
    </x:row>
    <x:row r="1168" ht="19" customHeight="1">
      <x:c r="A1168" s="90" t="n">
        <x:f>MONATSBUDGET!$A$65</x:f>
        <x:v>47969</x:v>
      </x:c>
      <x:c r="B1168" t="n">
        <x:f>9</x:f>
        <x:v>9</x:v>
      </x:c>
      <x:c r="C1168" t="str">
        <x:f>IF($N$17="","",$N$17)</x:f>
      </x:c>
      <x:c r="D1168" s="88" t="str">
        <x:f>IF(C1168="","",I1148)</x:f>
      </x:c>
      <x:c r="E1168" s="88" t="str">
        <x:f>IF(C1168="","",ROUND(D1168*$P$17/12,2))</x:f>
      </x:c>
      <x:c r="F1168" s="88" t="str">
        <x:f>IF(C1168="","",MIN(D1168+E1168,$Q$17))</x:f>
      </x:c>
      <x:c r="G1168" s="88" t="str">
        <x:f>IF(C1168="","",MIN(MAX(0,D1168+E1168-F1168),SUMIFS(SONDERZAHLUNGEN!$E$9:$E$128,SONDERZAHLUNGEN!$B$9:$B$128,C1168,SONDERZAHLUNGEN!$C$9:$C$128,A1168,SONDERZAHLUNGEN!$H$9:$H$128,"OK",SONDERZAHLUNGEN!$F$9:$F$128,"Ja")))</x:f>
      </x:c>
      <x:c r="H1168" s="88" t="str">
        <x:f>IF(C1168="","",MIN(MAX(0,D1168+E1168-F1168-G1168),MAX(0,IF(MONATSBUDGET!$C$65="",0,MONATSBUDGET!$C$65)-SUM(F1160:F1179)-SUM(H1160:H1167))))</x:f>
      </x:c>
      <x:c r="I1168" s="88" t="str">
        <x:f>IF(C1168="","",MAX(0,ROUND(D1168+E1168-F1168-G1168-H1168,2)))</x:f>
      </x:c>
      <x:c r="J1168" s="88" t="str">
        <x:f>IF(C1168="","",F1168+G1168+H1168)</x:f>
      </x:c>
      <x:c r="K1168" s="88" t="str">
        <x:f>IF(C1168="","",MAX(0,SUMIFS(SONDERZAHLUNGEN!$E$9:$E$128,SONDERZAHLUNGEN!$B$9:$B$128,C1168,SONDERZAHLUNGEN!$C$9:$C$128,A1168,SONDERZAHLUNGEN!$H$9:$H$128,"OK",SONDERZAHLUNGEN!$F$9:$F$128,"Ja")-G1168))</x:f>
      </x:c>
    </x:row>
    <x:row r="1169" ht="19" customHeight="1">
      <x:c r="A1169" s="90" t="n">
        <x:f>MONATSBUDGET!$A$65</x:f>
        <x:v>47969</x:v>
      </x:c>
      <x:c r="B1169" t="n">
        <x:f>10</x:f>
        <x:v>10</x:v>
      </x:c>
      <x:c r="C1169" t="str">
        <x:f>IF($N$18="","",$N$18)</x:f>
      </x:c>
      <x:c r="D1169" s="88" t="str">
        <x:f>IF(C1169="","",I1149)</x:f>
      </x:c>
      <x:c r="E1169" s="88" t="str">
        <x:f>IF(C1169="","",ROUND(D1169*$P$18/12,2))</x:f>
      </x:c>
      <x:c r="F1169" s="88" t="str">
        <x:f>IF(C1169="","",MIN(D1169+E1169,$Q$18))</x:f>
      </x:c>
      <x:c r="G1169" s="88" t="str">
        <x:f>IF(C1169="","",MIN(MAX(0,D1169+E1169-F1169),SUMIFS(SONDERZAHLUNGEN!$E$9:$E$128,SONDERZAHLUNGEN!$B$9:$B$128,C1169,SONDERZAHLUNGEN!$C$9:$C$128,A1169,SONDERZAHLUNGEN!$H$9:$H$128,"OK",SONDERZAHLUNGEN!$F$9:$F$128,"Ja")))</x:f>
      </x:c>
      <x:c r="H1169" s="88" t="str">
        <x:f>IF(C1169="","",MIN(MAX(0,D1169+E1169-F1169-G1169),MAX(0,IF(MONATSBUDGET!$C$65="",0,MONATSBUDGET!$C$65)-SUM(F1160:F1179)-SUM(H1160:H1168))))</x:f>
      </x:c>
      <x:c r="I1169" s="88" t="str">
        <x:f>IF(C1169="","",MAX(0,ROUND(D1169+E1169-F1169-G1169-H1169,2)))</x:f>
      </x:c>
      <x:c r="J1169" s="88" t="str">
        <x:f>IF(C1169="","",F1169+G1169+H1169)</x:f>
      </x:c>
      <x:c r="K1169" s="88" t="str">
        <x:f>IF(C1169="","",MAX(0,SUMIFS(SONDERZAHLUNGEN!$E$9:$E$128,SONDERZAHLUNGEN!$B$9:$B$128,C1169,SONDERZAHLUNGEN!$C$9:$C$128,A1169,SONDERZAHLUNGEN!$H$9:$H$128,"OK",SONDERZAHLUNGEN!$F$9:$F$128,"Ja")-G1169))</x:f>
      </x:c>
    </x:row>
    <x:row r="1170" ht="19" customHeight="1">
      <x:c r="A1170" s="90" t="n">
        <x:f>MONATSBUDGET!$A$65</x:f>
        <x:v>47969</x:v>
      </x:c>
      <x:c r="B1170" t="n">
        <x:f>11</x:f>
        <x:v>11</x:v>
      </x:c>
      <x:c r="C1170" t="str">
        <x:f>IF($N$19="","",$N$19)</x:f>
      </x:c>
      <x:c r="D1170" s="88" t="str">
        <x:f>IF(C1170="","",I1150)</x:f>
      </x:c>
      <x:c r="E1170" s="88" t="str">
        <x:f>IF(C1170="","",ROUND(D1170*$P$19/12,2))</x:f>
      </x:c>
      <x:c r="F1170" s="88" t="str">
        <x:f>IF(C1170="","",MIN(D1170+E1170,$Q$19))</x:f>
      </x:c>
      <x:c r="G1170" s="88" t="str">
        <x:f>IF(C1170="","",MIN(MAX(0,D1170+E1170-F1170),SUMIFS(SONDERZAHLUNGEN!$E$9:$E$128,SONDERZAHLUNGEN!$B$9:$B$128,C1170,SONDERZAHLUNGEN!$C$9:$C$128,A1170,SONDERZAHLUNGEN!$H$9:$H$128,"OK",SONDERZAHLUNGEN!$F$9:$F$128,"Ja")))</x:f>
      </x:c>
      <x:c r="H1170" s="88" t="str">
        <x:f>IF(C1170="","",MIN(MAX(0,D1170+E1170-F1170-G1170),MAX(0,IF(MONATSBUDGET!$C$65="",0,MONATSBUDGET!$C$65)-SUM(F1160:F1179)-SUM(H1160:H1169))))</x:f>
      </x:c>
      <x:c r="I1170" s="88" t="str">
        <x:f>IF(C1170="","",MAX(0,ROUND(D1170+E1170-F1170-G1170-H1170,2)))</x:f>
      </x:c>
      <x:c r="J1170" s="88" t="str">
        <x:f>IF(C1170="","",F1170+G1170+H1170)</x:f>
      </x:c>
      <x:c r="K1170" s="88" t="str">
        <x:f>IF(C1170="","",MAX(0,SUMIFS(SONDERZAHLUNGEN!$E$9:$E$128,SONDERZAHLUNGEN!$B$9:$B$128,C1170,SONDERZAHLUNGEN!$C$9:$C$128,A1170,SONDERZAHLUNGEN!$H$9:$H$128,"OK",SONDERZAHLUNGEN!$F$9:$F$128,"Ja")-G1170))</x:f>
      </x:c>
    </x:row>
    <x:row r="1171" ht="19" customHeight="1">
      <x:c r="A1171" s="90" t="n">
        <x:f>MONATSBUDGET!$A$65</x:f>
        <x:v>47969</x:v>
      </x:c>
      <x:c r="B1171" t="n">
        <x:f>12</x:f>
        <x:v>12</x:v>
      </x:c>
      <x:c r="C1171" t="str">
        <x:f>IF($N$20="","",$N$20)</x:f>
      </x:c>
      <x:c r="D1171" s="88" t="str">
        <x:f>IF(C1171="","",I1151)</x:f>
      </x:c>
      <x:c r="E1171" s="88" t="str">
        <x:f>IF(C1171="","",ROUND(D1171*$P$20/12,2))</x:f>
      </x:c>
      <x:c r="F1171" s="88" t="str">
        <x:f>IF(C1171="","",MIN(D1171+E1171,$Q$20))</x:f>
      </x:c>
      <x:c r="G1171" s="88" t="str">
        <x:f>IF(C1171="","",MIN(MAX(0,D1171+E1171-F1171),SUMIFS(SONDERZAHLUNGEN!$E$9:$E$128,SONDERZAHLUNGEN!$B$9:$B$128,C1171,SONDERZAHLUNGEN!$C$9:$C$128,A1171,SONDERZAHLUNGEN!$H$9:$H$128,"OK",SONDERZAHLUNGEN!$F$9:$F$128,"Ja")))</x:f>
      </x:c>
      <x:c r="H1171" s="88" t="str">
        <x:f>IF(C1171="","",MIN(MAX(0,D1171+E1171-F1171-G1171),MAX(0,IF(MONATSBUDGET!$C$65="",0,MONATSBUDGET!$C$65)-SUM(F1160:F1179)-SUM(H1160:H1170))))</x:f>
      </x:c>
      <x:c r="I1171" s="88" t="str">
        <x:f>IF(C1171="","",MAX(0,ROUND(D1171+E1171-F1171-G1171-H1171,2)))</x:f>
      </x:c>
      <x:c r="J1171" s="88" t="str">
        <x:f>IF(C1171="","",F1171+G1171+H1171)</x:f>
      </x:c>
      <x:c r="K1171" s="88" t="str">
        <x:f>IF(C1171="","",MAX(0,SUMIFS(SONDERZAHLUNGEN!$E$9:$E$128,SONDERZAHLUNGEN!$B$9:$B$128,C1171,SONDERZAHLUNGEN!$C$9:$C$128,A1171,SONDERZAHLUNGEN!$H$9:$H$128,"OK",SONDERZAHLUNGEN!$F$9:$F$128,"Ja")-G1171))</x:f>
      </x:c>
    </x:row>
    <x:row r="1172" ht="19" customHeight="1">
      <x:c r="A1172" s="90" t="n">
        <x:f>MONATSBUDGET!$A$65</x:f>
        <x:v>47969</x:v>
      </x:c>
      <x:c r="B1172" t="n">
        <x:f>13</x:f>
        <x:v>13</x:v>
      </x:c>
      <x:c r="C1172" t="str">
        <x:f>IF($N$21="","",$N$21)</x:f>
      </x:c>
      <x:c r="D1172" s="88" t="str">
        <x:f>IF(C1172="","",I1152)</x:f>
      </x:c>
      <x:c r="E1172" s="88" t="str">
        <x:f>IF(C1172="","",ROUND(D1172*$P$21/12,2))</x:f>
      </x:c>
      <x:c r="F1172" s="88" t="str">
        <x:f>IF(C1172="","",MIN(D1172+E1172,$Q$21))</x:f>
      </x:c>
      <x:c r="G1172" s="88" t="str">
        <x:f>IF(C1172="","",MIN(MAX(0,D1172+E1172-F1172),SUMIFS(SONDERZAHLUNGEN!$E$9:$E$128,SONDERZAHLUNGEN!$B$9:$B$128,C1172,SONDERZAHLUNGEN!$C$9:$C$128,A1172,SONDERZAHLUNGEN!$H$9:$H$128,"OK",SONDERZAHLUNGEN!$F$9:$F$128,"Ja")))</x:f>
      </x:c>
      <x:c r="H1172" s="88" t="str">
        <x:f>IF(C1172="","",MIN(MAX(0,D1172+E1172-F1172-G1172),MAX(0,IF(MONATSBUDGET!$C$65="",0,MONATSBUDGET!$C$65)-SUM(F1160:F1179)-SUM(H1160:H1171))))</x:f>
      </x:c>
      <x:c r="I1172" s="88" t="str">
        <x:f>IF(C1172="","",MAX(0,ROUND(D1172+E1172-F1172-G1172-H1172,2)))</x:f>
      </x:c>
      <x:c r="J1172" s="88" t="str">
        <x:f>IF(C1172="","",F1172+G1172+H1172)</x:f>
      </x:c>
      <x:c r="K1172" s="88" t="str">
        <x:f>IF(C1172="","",MAX(0,SUMIFS(SONDERZAHLUNGEN!$E$9:$E$128,SONDERZAHLUNGEN!$B$9:$B$128,C1172,SONDERZAHLUNGEN!$C$9:$C$128,A1172,SONDERZAHLUNGEN!$H$9:$H$128,"OK",SONDERZAHLUNGEN!$F$9:$F$128,"Ja")-G1172))</x:f>
      </x:c>
    </x:row>
    <x:row r="1173" ht="19" customHeight="1">
      <x:c r="A1173" s="90" t="n">
        <x:f>MONATSBUDGET!$A$65</x:f>
        <x:v>47969</x:v>
      </x:c>
      <x:c r="B1173" t="n">
        <x:f>14</x:f>
        <x:v>14</x:v>
      </x:c>
      <x:c r="C1173" t="str">
        <x:f>IF($N$22="","",$N$22)</x:f>
      </x:c>
      <x:c r="D1173" s="88" t="str">
        <x:f>IF(C1173="","",I1153)</x:f>
      </x:c>
      <x:c r="E1173" s="88" t="str">
        <x:f>IF(C1173="","",ROUND(D1173*$P$22/12,2))</x:f>
      </x:c>
      <x:c r="F1173" s="88" t="str">
        <x:f>IF(C1173="","",MIN(D1173+E1173,$Q$22))</x:f>
      </x:c>
      <x:c r="G1173" s="88" t="str">
        <x:f>IF(C1173="","",MIN(MAX(0,D1173+E1173-F1173),SUMIFS(SONDERZAHLUNGEN!$E$9:$E$128,SONDERZAHLUNGEN!$B$9:$B$128,C1173,SONDERZAHLUNGEN!$C$9:$C$128,A1173,SONDERZAHLUNGEN!$H$9:$H$128,"OK",SONDERZAHLUNGEN!$F$9:$F$128,"Ja")))</x:f>
      </x:c>
      <x:c r="H1173" s="88" t="str">
        <x:f>IF(C1173="","",MIN(MAX(0,D1173+E1173-F1173-G1173),MAX(0,IF(MONATSBUDGET!$C$65="",0,MONATSBUDGET!$C$65)-SUM(F1160:F1179)-SUM(H1160:H1172))))</x:f>
      </x:c>
      <x:c r="I1173" s="88" t="str">
        <x:f>IF(C1173="","",MAX(0,ROUND(D1173+E1173-F1173-G1173-H1173,2)))</x:f>
      </x:c>
      <x:c r="J1173" s="88" t="str">
        <x:f>IF(C1173="","",F1173+G1173+H1173)</x:f>
      </x:c>
      <x:c r="K1173" s="88" t="str">
        <x:f>IF(C1173="","",MAX(0,SUMIFS(SONDERZAHLUNGEN!$E$9:$E$128,SONDERZAHLUNGEN!$B$9:$B$128,C1173,SONDERZAHLUNGEN!$C$9:$C$128,A1173,SONDERZAHLUNGEN!$H$9:$H$128,"OK",SONDERZAHLUNGEN!$F$9:$F$128,"Ja")-G1173))</x:f>
      </x:c>
    </x:row>
    <x:row r="1174" ht="19" customHeight="1">
      <x:c r="A1174" s="90" t="n">
        <x:f>MONATSBUDGET!$A$65</x:f>
        <x:v>47969</x:v>
      </x:c>
      <x:c r="B1174" t="n">
        <x:f>15</x:f>
        <x:v>15</x:v>
      </x:c>
      <x:c r="C1174" t="str">
        <x:f>IF($N$23="","",$N$23)</x:f>
      </x:c>
      <x:c r="D1174" s="88" t="str">
        <x:f>IF(C1174="","",I1154)</x:f>
      </x:c>
      <x:c r="E1174" s="88" t="str">
        <x:f>IF(C1174="","",ROUND(D1174*$P$23/12,2))</x:f>
      </x:c>
      <x:c r="F1174" s="88" t="str">
        <x:f>IF(C1174="","",MIN(D1174+E1174,$Q$23))</x:f>
      </x:c>
      <x:c r="G1174" s="88" t="str">
        <x:f>IF(C1174="","",MIN(MAX(0,D1174+E1174-F1174),SUMIFS(SONDERZAHLUNGEN!$E$9:$E$128,SONDERZAHLUNGEN!$B$9:$B$128,C1174,SONDERZAHLUNGEN!$C$9:$C$128,A1174,SONDERZAHLUNGEN!$H$9:$H$128,"OK",SONDERZAHLUNGEN!$F$9:$F$128,"Ja")))</x:f>
      </x:c>
      <x:c r="H1174" s="88" t="str">
        <x:f>IF(C1174="","",MIN(MAX(0,D1174+E1174-F1174-G1174),MAX(0,IF(MONATSBUDGET!$C$65="",0,MONATSBUDGET!$C$65)-SUM(F1160:F1179)-SUM(H1160:H1173))))</x:f>
      </x:c>
      <x:c r="I1174" s="88" t="str">
        <x:f>IF(C1174="","",MAX(0,ROUND(D1174+E1174-F1174-G1174-H1174,2)))</x:f>
      </x:c>
      <x:c r="J1174" s="88" t="str">
        <x:f>IF(C1174="","",F1174+G1174+H1174)</x:f>
      </x:c>
      <x:c r="K1174" s="88" t="str">
        <x:f>IF(C1174="","",MAX(0,SUMIFS(SONDERZAHLUNGEN!$E$9:$E$128,SONDERZAHLUNGEN!$B$9:$B$128,C1174,SONDERZAHLUNGEN!$C$9:$C$128,A1174,SONDERZAHLUNGEN!$H$9:$H$128,"OK",SONDERZAHLUNGEN!$F$9:$F$128,"Ja")-G1174))</x:f>
      </x:c>
    </x:row>
    <x:row r="1175" ht="19" customHeight="1">
      <x:c r="A1175" s="90" t="n">
        <x:f>MONATSBUDGET!$A$65</x:f>
        <x:v>47969</x:v>
      </x:c>
      <x:c r="B1175" t="n">
        <x:f>16</x:f>
        <x:v>16</x:v>
      </x:c>
      <x:c r="C1175" t="str">
        <x:f>IF($N$24="","",$N$24)</x:f>
      </x:c>
      <x:c r="D1175" s="88" t="str">
        <x:f>IF(C1175="","",I1155)</x:f>
      </x:c>
      <x:c r="E1175" s="88" t="str">
        <x:f>IF(C1175="","",ROUND(D1175*$P$24/12,2))</x:f>
      </x:c>
      <x:c r="F1175" s="88" t="str">
        <x:f>IF(C1175="","",MIN(D1175+E1175,$Q$24))</x:f>
      </x:c>
      <x:c r="G1175" s="88" t="str">
        <x:f>IF(C1175="","",MIN(MAX(0,D1175+E1175-F1175),SUMIFS(SONDERZAHLUNGEN!$E$9:$E$128,SONDERZAHLUNGEN!$B$9:$B$128,C1175,SONDERZAHLUNGEN!$C$9:$C$128,A1175,SONDERZAHLUNGEN!$H$9:$H$128,"OK",SONDERZAHLUNGEN!$F$9:$F$128,"Ja")))</x:f>
      </x:c>
      <x:c r="H1175" s="88" t="str">
        <x:f>IF(C1175="","",MIN(MAX(0,D1175+E1175-F1175-G1175),MAX(0,IF(MONATSBUDGET!$C$65="",0,MONATSBUDGET!$C$65)-SUM(F1160:F1179)-SUM(H1160:H1174))))</x:f>
      </x:c>
      <x:c r="I1175" s="88" t="str">
        <x:f>IF(C1175="","",MAX(0,ROUND(D1175+E1175-F1175-G1175-H1175,2)))</x:f>
      </x:c>
      <x:c r="J1175" s="88" t="str">
        <x:f>IF(C1175="","",F1175+G1175+H1175)</x:f>
      </x:c>
      <x:c r="K1175" s="88" t="str">
        <x:f>IF(C1175="","",MAX(0,SUMIFS(SONDERZAHLUNGEN!$E$9:$E$128,SONDERZAHLUNGEN!$B$9:$B$128,C1175,SONDERZAHLUNGEN!$C$9:$C$128,A1175,SONDERZAHLUNGEN!$H$9:$H$128,"OK",SONDERZAHLUNGEN!$F$9:$F$128,"Ja")-G1175))</x:f>
      </x:c>
    </x:row>
    <x:row r="1176" ht="19" customHeight="1">
      <x:c r="A1176" s="90" t="n">
        <x:f>MONATSBUDGET!$A$65</x:f>
        <x:v>47969</x:v>
      </x:c>
      <x:c r="B1176" t="n">
        <x:f>17</x:f>
        <x:v>17</x:v>
      </x:c>
      <x:c r="C1176" t="str">
        <x:f>IF($N$25="","",$N$25)</x:f>
      </x:c>
      <x:c r="D1176" s="88" t="str">
        <x:f>IF(C1176="","",I1156)</x:f>
      </x:c>
      <x:c r="E1176" s="88" t="str">
        <x:f>IF(C1176="","",ROUND(D1176*$P$25/12,2))</x:f>
      </x:c>
      <x:c r="F1176" s="88" t="str">
        <x:f>IF(C1176="","",MIN(D1176+E1176,$Q$25))</x:f>
      </x:c>
      <x:c r="G1176" s="88" t="str">
        <x:f>IF(C1176="","",MIN(MAX(0,D1176+E1176-F1176),SUMIFS(SONDERZAHLUNGEN!$E$9:$E$128,SONDERZAHLUNGEN!$B$9:$B$128,C1176,SONDERZAHLUNGEN!$C$9:$C$128,A1176,SONDERZAHLUNGEN!$H$9:$H$128,"OK",SONDERZAHLUNGEN!$F$9:$F$128,"Ja")))</x:f>
      </x:c>
      <x:c r="H1176" s="88" t="str">
        <x:f>IF(C1176="","",MIN(MAX(0,D1176+E1176-F1176-G1176),MAX(0,IF(MONATSBUDGET!$C$65="",0,MONATSBUDGET!$C$65)-SUM(F1160:F1179)-SUM(H1160:H1175))))</x:f>
      </x:c>
      <x:c r="I1176" s="88" t="str">
        <x:f>IF(C1176="","",MAX(0,ROUND(D1176+E1176-F1176-G1176-H1176,2)))</x:f>
      </x:c>
      <x:c r="J1176" s="88" t="str">
        <x:f>IF(C1176="","",F1176+G1176+H1176)</x:f>
      </x:c>
      <x:c r="K1176" s="88" t="str">
        <x:f>IF(C1176="","",MAX(0,SUMIFS(SONDERZAHLUNGEN!$E$9:$E$128,SONDERZAHLUNGEN!$B$9:$B$128,C1176,SONDERZAHLUNGEN!$C$9:$C$128,A1176,SONDERZAHLUNGEN!$H$9:$H$128,"OK",SONDERZAHLUNGEN!$F$9:$F$128,"Ja")-G1176))</x:f>
      </x:c>
    </x:row>
    <x:row r="1177" ht="19" customHeight="1">
      <x:c r="A1177" s="90" t="n">
        <x:f>MONATSBUDGET!$A$65</x:f>
        <x:v>47969</x:v>
      </x:c>
      <x:c r="B1177" t="n">
        <x:f>18</x:f>
        <x:v>18</x:v>
      </x:c>
      <x:c r="C1177" t="str">
        <x:f>IF($N$26="","",$N$26)</x:f>
      </x:c>
      <x:c r="D1177" s="88" t="str">
        <x:f>IF(C1177="","",I1157)</x:f>
      </x:c>
      <x:c r="E1177" s="88" t="str">
        <x:f>IF(C1177="","",ROUND(D1177*$P$26/12,2))</x:f>
      </x:c>
      <x:c r="F1177" s="88" t="str">
        <x:f>IF(C1177="","",MIN(D1177+E1177,$Q$26))</x:f>
      </x:c>
      <x:c r="G1177" s="88" t="str">
        <x:f>IF(C1177="","",MIN(MAX(0,D1177+E1177-F1177),SUMIFS(SONDERZAHLUNGEN!$E$9:$E$128,SONDERZAHLUNGEN!$B$9:$B$128,C1177,SONDERZAHLUNGEN!$C$9:$C$128,A1177,SONDERZAHLUNGEN!$H$9:$H$128,"OK",SONDERZAHLUNGEN!$F$9:$F$128,"Ja")))</x:f>
      </x:c>
      <x:c r="H1177" s="88" t="str">
        <x:f>IF(C1177="","",MIN(MAX(0,D1177+E1177-F1177-G1177),MAX(0,IF(MONATSBUDGET!$C$65="",0,MONATSBUDGET!$C$65)-SUM(F1160:F1179)-SUM(H1160:H1176))))</x:f>
      </x:c>
      <x:c r="I1177" s="88" t="str">
        <x:f>IF(C1177="","",MAX(0,ROUND(D1177+E1177-F1177-G1177-H1177,2)))</x:f>
      </x:c>
      <x:c r="J1177" s="88" t="str">
        <x:f>IF(C1177="","",F1177+G1177+H1177)</x:f>
      </x:c>
      <x:c r="K1177" s="88" t="str">
        <x:f>IF(C1177="","",MAX(0,SUMIFS(SONDERZAHLUNGEN!$E$9:$E$128,SONDERZAHLUNGEN!$B$9:$B$128,C1177,SONDERZAHLUNGEN!$C$9:$C$128,A1177,SONDERZAHLUNGEN!$H$9:$H$128,"OK",SONDERZAHLUNGEN!$F$9:$F$128,"Ja")-G1177))</x:f>
      </x:c>
    </x:row>
    <x:row r="1178" ht="19" customHeight="1">
      <x:c r="A1178" s="90" t="n">
        <x:f>MONATSBUDGET!$A$65</x:f>
        <x:v>47969</x:v>
      </x:c>
      <x:c r="B1178" t="n">
        <x:f>19</x:f>
        <x:v>19</x:v>
      </x:c>
      <x:c r="C1178" t="str">
        <x:f>IF($N$27="","",$N$27)</x:f>
      </x:c>
      <x:c r="D1178" s="88" t="str">
        <x:f>IF(C1178="","",I1158)</x:f>
      </x:c>
      <x:c r="E1178" s="88" t="str">
        <x:f>IF(C1178="","",ROUND(D1178*$P$27/12,2))</x:f>
      </x:c>
      <x:c r="F1178" s="88" t="str">
        <x:f>IF(C1178="","",MIN(D1178+E1178,$Q$27))</x:f>
      </x:c>
      <x:c r="G1178" s="88" t="str">
        <x:f>IF(C1178="","",MIN(MAX(0,D1178+E1178-F1178),SUMIFS(SONDERZAHLUNGEN!$E$9:$E$128,SONDERZAHLUNGEN!$B$9:$B$128,C1178,SONDERZAHLUNGEN!$C$9:$C$128,A1178,SONDERZAHLUNGEN!$H$9:$H$128,"OK",SONDERZAHLUNGEN!$F$9:$F$128,"Ja")))</x:f>
      </x:c>
      <x:c r="H1178" s="88" t="str">
        <x:f>IF(C1178="","",MIN(MAX(0,D1178+E1178-F1178-G1178),MAX(0,IF(MONATSBUDGET!$C$65="",0,MONATSBUDGET!$C$65)-SUM(F1160:F1179)-SUM(H1160:H1177))))</x:f>
      </x:c>
      <x:c r="I1178" s="88" t="str">
        <x:f>IF(C1178="","",MAX(0,ROUND(D1178+E1178-F1178-G1178-H1178,2)))</x:f>
      </x:c>
      <x:c r="J1178" s="88" t="str">
        <x:f>IF(C1178="","",F1178+G1178+H1178)</x:f>
      </x:c>
      <x:c r="K1178" s="88" t="str">
        <x:f>IF(C1178="","",MAX(0,SUMIFS(SONDERZAHLUNGEN!$E$9:$E$128,SONDERZAHLUNGEN!$B$9:$B$128,C1178,SONDERZAHLUNGEN!$C$9:$C$128,A1178,SONDERZAHLUNGEN!$H$9:$H$128,"OK",SONDERZAHLUNGEN!$F$9:$F$128,"Ja")-G1178))</x:f>
      </x:c>
    </x:row>
    <x:row r="1179" ht="19" customHeight="1">
      <x:c r="A1179" s="90" t="n">
        <x:f>MONATSBUDGET!$A$65</x:f>
        <x:v>47969</x:v>
      </x:c>
      <x:c r="B1179" t="n">
        <x:f>20</x:f>
        <x:v>20</x:v>
      </x:c>
      <x:c r="C1179" t="str">
        <x:f>IF($N$28="","",$N$28)</x:f>
      </x:c>
      <x:c r="D1179" s="88" t="str">
        <x:f>IF(C1179="","",I1159)</x:f>
      </x:c>
      <x:c r="E1179" s="88" t="str">
        <x:f>IF(C1179="","",ROUND(D1179*$P$28/12,2))</x:f>
      </x:c>
      <x:c r="F1179" s="88" t="str">
        <x:f>IF(C1179="","",MIN(D1179+E1179,$Q$28))</x:f>
      </x:c>
      <x:c r="G1179" s="88" t="str">
        <x:f>IF(C1179="","",MIN(MAX(0,D1179+E1179-F1179),SUMIFS(SONDERZAHLUNGEN!$E$9:$E$128,SONDERZAHLUNGEN!$B$9:$B$128,C1179,SONDERZAHLUNGEN!$C$9:$C$128,A1179,SONDERZAHLUNGEN!$H$9:$H$128,"OK",SONDERZAHLUNGEN!$F$9:$F$128,"Ja")))</x:f>
      </x:c>
      <x:c r="H1179" s="88" t="str">
        <x:f>IF(C1179="","",MIN(MAX(0,D1179+E1179-F1179-G1179),MAX(0,IF(MONATSBUDGET!$C$65="",0,MONATSBUDGET!$C$65)-SUM(F1160:F1179)-SUM(H1160:H1178))))</x:f>
      </x:c>
      <x:c r="I1179" s="88" t="str">
        <x:f>IF(C1179="","",MAX(0,ROUND(D1179+E1179-F1179-G1179-H1179,2)))</x:f>
      </x:c>
      <x:c r="J1179" s="88" t="str">
        <x:f>IF(C1179="","",F1179+G1179+H1179)</x:f>
      </x:c>
      <x:c r="K1179" s="88" t="str">
        <x:f>IF(C1179="","",MAX(0,SUMIFS(SONDERZAHLUNGEN!$E$9:$E$128,SONDERZAHLUNGEN!$B$9:$B$128,C1179,SONDERZAHLUNGEN!$C$9:$C$128,A1179,SONDERZAHLUNGEN!$H$9:$H$128,"OK",SONDERZAHLUNGEN!$F$9:$F$128,"Ja")-G1179))</x:f>
      </x:c>
    </x:row>
    <x:row r="1180" ht="19" customHeight="1">
      <x:c r="A1180" s="90" t="n">
        <x:f>MONATSBUDGET!$A$66</x:f>
        <x:v>48000</x:v>
      </x:c>
      <x:c r="B1180" t="n">
        <x:f>1</x:f>
        <x:v>1</x:v>
      </x:c>
      <x:c r="C1180" t="str">
        <x:f>IF($N$9="","",$N$9)</x:f>
      </x:c>
      <x:c r="D1180" s="88" t="str">
        <x:f>IF(C1180="","",I1160)</x:f>
      </x:c>
      <x:c r="E1180" s="88" t="str">
        <x:f>IF(C1180="","",ROUND(D1180*$P$9/12,2))</x:f>
      </x:c>
      <x:c r="F1180" s="88" t="str">
        <x:f>IF(C1180="","",MIN(D1180+E1180,$Q$9))</x:f>
      </x:c>
      <x:c r="G1180" s="88" t="str">
        <x:f>IF(C1180="","",MIN(MAX(0,D1180+E1180-F1180),SUMIFS(SONDERZAHLUNGEN!$E$9:$E$128,SONDERZAHLUNGEN!$B$9:$B$128,C1180,SONDERZAHLUNGEN!$C$9:$C$128,A1180,SONDERZAHLUNGEN!$H$9:$H$128,"OK",SONDERZAHLUNGEN!$F$9:$F$128,"Ja")))</x:f>
      </x:c>
      <x:c r="H1180" s="88" t="str">
        <x:f>IF(C1180="","",MIN(MAX(0,D1180+E1180-F1180-G1180),MAX(0,IF(MONATSBUDGET!$C$66="",0,MONATSBUDGET!$C$66)-SUM(F1180:F1199)-0)))</x:f>
      </x:c>
      <x:c r="I1180" s="88" t="str">
        <x:f>IF(C1180="","",MAX(0,ROUND(D1180+E1180-F1180-G1180-H1180,2)))</x:f>
      </x:c>
      <x:c r="J1180" s="88" t="str">
        <x:f>IF(C1180="","",F1180+G1180+H1180)</x:f>
      </x:c>
      <x:c r="K1180" s="88" t="str">
        <x:f>IF(C1180="","",MAX(0,SUMIFS(SONDERZAHLUNGEN!$E$9:$E$128,SONDERZAHLUNGEN!$B$9:$B$128,C1180,SONDERZAHLUNGEN!$C$9:$C$128,A1180,SONDERZAHLUNGEN!$H$9:$H$128,"OK",SONDERZAHLUNGEN!$F$9:$F$128,"Ja")-G1180))</x:f>
      </x:c>
    </x:row>
    <x:row r="1181" ht="19" customHeight="1">
      <x:c r="A1181" s="90" t="n">
        <x:f>MONATSBUDGET!$A$66</x:f>
        <x:v>48000</x:v>
      </x:c>
      <x:c r="B1181" t="n">
        <x:f>2</x:f>
        <x:v>2</x:v>
      </x:c>
      <x:c r="C1181" t="str">
        <x:f>IF($N$10="","",$N$10)</x:f>
      </x:c>
      <x:c r="D1181" s="88" t="str">
        <x:f>IF(C1181="","",I1161)</x:f>
      </x:c>
      <x:c r="E1181" s="88" t="str">
        <x:f>IF(C1181="","",ROUND(D1181*$P$10/12,2))</x:f>
      </x:c>
      <x:c r="F1181" s="88" t="str">
        <x:f>IF(C1181="","",MIN(D1181+E1181,$Q$10))</x:f>
      </x:c>
      <x:c r="G1181" s="88" t="str">
        <x:f>IF(C1181="","",MIN(MAX(0,D1181+E1181-F1181),SUMIFS(SONDERZAHLUNGEN!$E$9:$E$128,SONDERZAHLUNGEN!$B$9:$B$128,C1181,SONDERZAHLUNGEN!$C$9:$C$128,A1181,SONDERZAHLUNGEN!$H$9:$H$128,"OK",SONDERZAHLUNGEN!$F$9:$F$128,"Ja")))</x:f>
      </x:c>
      <x:c r="H1181" s="88" t="str">
        <x:f>IF(C1181="","",MIN(MAX(0,D1181+E1181-F1181-G1181),MAX(0,IF(MONATSBUDGET!$C$66="",0,MONATSBUDGET!$C$66)-SUM(F1180:F1199)-SUM(H1180:H1180))))</x:f>
      </x:c>
      <x:c r="I1181" s="88" t="str">
        <x:f>IF(C1181="","",MAX(0,ROUND(D1181+E1181-F1181-G1181-H1181,2)))</x:f>
      </x:c>
      <x:c r="J1181" s="88" t="str">
        <x:f>IF(C1181="","",F1181+G1181+H1181)</x:f>
      </x:c>
      <x:c r="K1181" s="88" t="str">
        <x:f>IF(C1181="","",MAX(0,SUMIFS(SONDERZAHLUNGEN!$E$9:$E$128,SONDERZAHLUNGEN!$B$9:$B$128,C1181,SONDERZAHLUNGEN!$C$9:$C$128,A1181,SONDERZAHLUNGEN!$H$9:$H$128,"OK",SONDERZAHLUNGEN!$F$9:$F$128,"Ja")-G1181))</x:f>
      </x:c>
    </x:row>
    <x:row r="1182" ht="19" customHeight="1">
      <x:c r="A1182" s="90" t="n">
        <x:f>MONATSBUDGET!$A$66</x:f>
        <x:v>48000</x:v>
      </x:c>
      <x:c r="B1182" t="n">
        <x:f>3</x:f>
        <x:v>3</x:v>
      </x:c>
      <x:c r="C1182" t="str">
        <x:f>IF($N$11="","",$N$11)</x:f>
      </x:c>
      <x:c r="D1182" s="88" t="str">
        <x:f>IF(C1182="","",I1162)</x:f>
      </x:c>
      <x:c r="E1182" s="88" t="str">
        <x:f>IF(C1182="","",ROUND(D1182*$P$11/12,2))</x:f>
      </x:c>
      <x:c r="F1182" s="88" t="str">
        <x:f>IF(C1182="","",MIN(D1182+E1182,$Q$11))</x:f>
      </x:c>
      <x:c r="G1182" s="88" t="str">
        <x:f>IF(C1182="","",MIN(MAX(0,D1182+E1182-F1182),SUMIFS(SONDERZAHLUNGEN!$E$9:$E$128,SONDERZAHLUNGEN!$B$9:$B$128,C1182,SONDERZAHLUNGEN!$C$9:$C$128,A1182,SONDERZAHLUNGEN!$H$9:$H$128,"OK",SONDERZAHLUNGEN!$F$9:$F$128,"Ja")))</x:f>
      </x:c>
      <x:c r="H1182" s="88" t="str">
        <x:f>IF(C1182="","",MIN(MAX(0,D1182+E1182-F1182-G1182),MAX(0,IF(MONATSBUDGET!$C$66="",0,MONATSBUDGET!$C$66)-SUM(F1180:F1199)-SUM(H1180:H1181))))</x:f>
      </x:c>
      <x:c r="I1182" s="88" t="str">
        <x:f>IF(C1182="","",MAX(0,ROUND(D1182+E1182-F1182-G1182-H1182,2)))</x:f>
      </x:c>
      <x:c r="J1182" s="88" t="str">
        <x:f>IF(C1182="","",F1182+G1182+H1182)</x:f>
      </x:c>
      <x:c r="K1182" s="88" t="str">
        <x:f>IF(C1182="","",MAX(0,SUMIFS(SONDERZAHLUNGEN!$E$9:$E$128,SONDERZAHLUNGEN!$B$9:$B$128,C1182,SONDERZAHLUNGEN!$C$9:$C$128,A1182,SONDERZAHLUNGEN!$H$9:$H$128,"OK",SONDERZAHLUNGEN!$F$9:$F$128,"Ja")-G1182))</x:f>
      </x:c>
    </x:row>
    <x:row r="1183" ht="19" customHeight="1">
      <x:c r="A1183" s="90" t="n">
        <x:f>MONATSBUDGET!$A$66</x:f>
        <x:v>48000</x:v>
      </x:c>
      <x:c r="B1183" t="n">
        <x:f>4</x:f>
        <x:v>4</x:v>
      </x:c>
      <x:c r="C1183" t="str">
        <x:f>IF($N$12="","",$N$12)</x:f>
      </x:c>
      <x:c r="D1183" s="88" t="str">
        <x:f>IF(C1183="","",I1163)</x:f>
      </x:c>
      <x:c r="E1183" s="88" t="str">
        <x:f>IF(C1183="","",ROUND(D1183*$P$12/12,2))</x:f>
      </x:c>
      <x:c r="F1183" s="88" t="str">
        <x:f>IF(C1183="","",MIN(D1183+E1183,$Q$12))</x:f>
      </x:c>
      <x:c r="G1183" s="88" t="str">
        <x:f>IF(C1183="","",MIN(MAX(0,D1183+E1183-F1183),SUMIFS(SONDERZAHLUNGEN!$E$9:$E$128,SONDERZAHLUNGEN!$B$9:$B$128,C1183,SONDERZAHLUNGEN!$C$9:$C$128,A1183,SONDERZAHLUNGEN!$H$9:$H$128,"OK",SONDERZAHLUNGEN!$F$9:$F$128,"Ja")))</x:f>
      </x:c>
      <x:c r="H1183" s="88" t="str">
        <x:f>IF(C1183="","",MIN(MAX(0,D1183+E1183-F1183-G1183),MAX(0,IF(MONATSBUDGET!$C$66="",0,MONATSBUDGET!$C$66)-SUM(F1180:F1199)-SUM(H1180:H1182))))</x:f>
      </x:c>
      <x:c r="I1183" s="88" t="str">
        <x:f>IF(C1183="","",MAX(0,ROUND(D1183+E1183-F1183-G1183-H1183,2)))</x:f>
      </x:c>
      <x:c r="J1183" s="88" t="str">
        <x:f>IF(C1183="","",F1183+G1183+H1183)</x:f>
      </x:c>
      <x:c r="K1183" s="88" t="str">
        <x:f>IF(C1183="","",MAX(0,SUMIFS(SONDERZAHLUNGEN!$E$9:$E$128,SONDERZAHLUNGEN!$B$9:$B$128,C1183,SONDERZAHLUNGEN!$C$9:$C$128,A1183,SONDERZAHLUNGEN!$H$9:$H$128,"OK",SONDERZAHLUNGEN!$F$9:$F$128,"Ja")-G1183))</x:f>
      </x:c>
    </x:row>
    <x:row r="1184" ht="19" customHeight="1">
      <x:c r="A1184" s="90" t="n">
        <x:f>MONATSBUDGET!$A$66</x:f>
        <x:v>48000</x:v>
      </x:c>
      <x:c r="B1184" t="n">
        <x:f>5</x:f>
        <x:v>5</x:v>
      </x:c>
      <x:c r="C1184" t="str">
        <x:f>IF($N$13="","",$N$13)</x:f>
      </x:c>
      <x:c r="D1184" s="88" t="str">
        <x:f>IF(C1184="","",I1164)</x:f>
      </x:c>
      <x:c r="E1184" s="88" t="str">
        <x:f>IF(C1184="","",ROUND(D1184*$P$13/12,2))</x:f>
      </x:c>
      <x:c r="F1184" s="88" t="str">
        <x:f>IF(C1184="","",MIN(D1184+E1184,$Q$13))</x:f>
      </x:c>
      <x:c r="G1184" s="88" t="str">
        <x:f>IF(C1184="","",MIN(MAX(0,D1184+E1184-F1184),SUMIFS(SONDERZAHLUNGEN!$E$9:$E$128,SONDERZAHLUNGEN!$B$9:$B$128,C1184,SONDERZAHLUNGEN!$C$9:$C$128,A1184,SONDERZAHLUNGEN!$H$9:$H$128,"OK",SONDERZAHLUNGEN!$F$9:$F$128,"Ja")))</x:f>
      </x:c>
      <x:c r="H1184" s="88" t="str">
        <x:f>IF(C1184="","",MIN(MAX(0,D1184+E1184-F1184-G1184),MAX(0,IF(MONATSBUDGET!$C$66="",0,MONATSBUDGET!$C$66)-SUM(F1180:F1199)-SUM(H1180:H1183))))</x:f>
      </x:c>
      <x:c r="I1184" s="88" t="str">
        <x:f>IF(C1184="","",MAX(0,ROUND(D1184+E1184-F1184-G1184-H1184,2)))</x:f>
      </x:c>
      <x:c r="J1184" s="88" t="str">
        <x:f>IF(C1184="","",F1184+G1184+H1184)</x:f>
      </x:c>
      <x:c r="K1184" s="88" t="str">
        <x:f>IF(C1184="","",MAX(0,SUMIFS(SONDERZAHLUNGEN!$E$9:$E$128,SONDERZAHLUNGEN!$B$9:$B$128,C1184,SONDERZAHLUNGEN!$C$9:$C$128,A1184,SONDERZAHLUNGEN!$H$9:$H$128,"OK",SONDERZAHLUNGEN!$F$9:$F$128,"Ja")-G1184))</x:f>
      </x:c>
    </x:row>
    <x:row r="1185" ht="19" customHeight="1">
      <x:c r="A1185" s="90" t="n">
        <x:f>MONATSBUDGET!$A$66</x:f>
        <x:v>48000</x:v>
      </x:c>
      <x:c r="B1185" t="n">
        <x:f>6</x:f>
        <x:v>6</x:v>
      </x:c>
      <x:c r="C1185" t="str">
        <x:f>IF($N$14="","",$N$14)</x:f>
      </x:c>
      <x:c r="D1185" s="88" t="str">
        <x:f>IF(C1185="","",I1165)</x:f>
      </x:c>
      <x:c r="E1185" s="88" t="str">
        <x:f>IF(C1185="","",ROUND(D1185*$P$14/12,2))</x:f>
      </x:c>
      <x:c r="F1185" s="88" t="str">
        <x:f>IF(C1185="","",MIN(D1185+E1185,$Q$14))</x:f>
      </x:c>
      <x:c r="G1185" s="88" t="str">
        <x:f>IF(C1185="","",MIN(MAX(0,D1185+E1185-F1185),SUMIFS(SONDERZAHLUNGEN!$E$9:$E$128,SONDERZAHLUNGEN!$B$9:$B$128,C1185,SONDERZAHLUNGEN!$C$9:$C$128,A1185,SONDERZAHLUNGEN!$H$9:$H$128,"OK",SONDERZAHLUNGEN!$F$9:$F$128,"Ja")))</x:f>
      </x:c>
      <x:c r="H1185" s="88" t="str">
        <x:f>IF(C1185="","",MIN(MAX(0,D1185+E1185-F1185-G1185),MAX(0,IF(MONATSBUDGET!$C$66="",0,MONATSBUDGET!$C$66)-SUM(F1180:F1199)-SUM(H1180:H1184))))</x:f>
      </x:c>
      <x:c r="I1185" s="88" t="str">
        <x:f>IF(C1185="","",MAX(0,ROUND(D1185+E1185-F1185-G1185-H1185,2)))</x:f>
      </x:c>
      <x:c r="J1185" s="88" t="str">
        <x:f>IF(C1185="","",F1185+G1185+H1185)</x:f>
      </x:c>
      <x:c r="K1185" s="88" t="str">
        <x:f>IF(C1185="","",MAX(0,SUMIFS(SONDERZAHLUNGEN!$E$9:$E$128,SONDERZAHLUNGEN!$B$9:$B$128,C1185,SONDERZAHLUNGEN!$C$9:$C$128,A1185,SONDERZAHLUNGEN!$H$9:$H$128,"OK",SONDERZAHLUNGEN!$F$9:$F$128,"Ja")-G1185))</x:f>
      </x:c>
    </x:row>
    <x:row r="1186" ht="19" customHeight="1">
      <x:c r="A1186" s="90" t="n">
        <x:f>MONATSBUDGET!$A$66</x:f>
        <x:v>48000</x:v>
      </x:c>
      <x:c r="B1186" t="n">
        <x:f>7</x:f>
        <x:v>7</x:v>
      </x:c>
      <x:c r="C1186" t="str">
        <x:f>IF($N$15="","",$N$15)</x:f>
      </x:c>
      <x:c r="D1186" s="88" t="str">
        <x:f>IF(C1186="","",I1166)</x:f>
      </x:c>
      <x:c r="E1186" s="88" t="str">
        <x:f>IF(C1186="","",ROUND(D1186*$P$15/12,2))</x:f>
      </x:c>
      <x:c r="F1186" s="88" t="str">
        <x:f>IF(C1186="","",MIN(D1186+E1186,$Q$15))</x:f>
      </x:c>
      <x:c r="G1186" s="88" t="str">
        <x:f>IF(C1186="","",MIN(MAX(0,D1186+E1186-F1186),SUMIFS(SONDERZAHLUNGEN!$E$9:$E$128,SONDERZAHLUNGEN!$B$9:$B$128,C1186,SONDERZAHLUNGEN!$C$9:$C$128,A1186,SONDERZAHLUNGEN!$H$9:$H$128,"OK",SONDERZAHLUNGEN!$F$9:$F$128,"Ja")))</x:f>
      </x:c>
      <x:c r="H1186" s="88" t="str">
        <x:f>IF(C1186="","",MIN(MAX(0,D1186+E1186-F1186-G1186),MAX(0,IF(MONATSBUDGET!$C$66="",0,MONATSBUDGET!$C$66)-SUM(F1180:F1199)-SUM(H1180:H1185))))</x:f>
      </x:c>
      <x:c r="I1186" s="88" t="str">
        <x:f>IF(C1186="","",MAX(0,ROUND(D1186+E1186-F1186-G1186-H1186,2)))</x:f>
      </x:c>
      <x:c r="J1186" s="88" t="str">
        <x:f>IF(C1186="","",F1186+G1186+H1186)</x:f>
      </x:c>
      <x:c r="K1186" s="88" t="str">
        <x:f>IF(C1186="","",MAX(0,SUMIFS(SONDERZAHLUNGEN!$E$9:$E$128,SONDERZAHLUNGEN!$B$9:$B$128,C1186,SONDERZAHLUNGEN!$C$9:$C$128,A1186,SONDERZAHLUNGEN!$H$9:$H$128,"OK",SONDERZAHLUNGEN!$F$9:$F$128,"Ja")-G1186))</x:f>
      </x:c>
    </x:row>
    <x:row r="1187" ht="19" customHeight="1">
      <x:c r="A1187" s="90" t="n">
        <x:f>MONATSBUDGET!$A$66</x:f>
        <x:v>48000</x:v>
      </x:c>
      <x:c r="B1187" t="n">
        <x:f>8</x:f>
        <x:v>8</x:v>
      </x:c>
      <x:c r="C1187" t="str">
        <x:f>IF($N$16="","",$N$16)</x:f>
      </x:c>
      <x:c r="D1187" s="88" t="str">
        <x:f>IF(C1187="","",I1167)</x:f>
      </x:c>
      <x:c r="E1187" s="88" t="str">
        <x:f>IF(C1187="","",ROUND(D1187*$P$16/12,2))</x:f>
      </x:c>
      <x:c r="F1187" s="88" t="str">
        <x:f>IF(C1187="","",MIN(D1187+E1187,$Q$16))</x:f>
      </x:c>
      <x:c r="G1187" s="88" t="str">
        <x:f>IF(C1187="","",MIN(MAX(0,D1187+E1187-F1187),SUMIFS(SONDERZAHLUNGEN!$E$9:$E$128,SONDERZAHLUNGEN!$B$9:$B$128,C1187,SONDERZAHLUNGEN!$C$9:$C$128,A1187,SONDERZAHLUNGEN!$H$9:$H$128,"OK",SONDERZAHLUNGEN!$F$9:$F$128,"Ja")))</x:f>
      </x:c>
      <x:c r="H1187" s="88" t="str">
        <x:f>IF(C1187="","",MIN(MAX(0,D1187+E1187-F1187-G1187),MAX(0,IF(MONATSBUDGET!$C$66="",0,MONATSBUDGET!$C$66)-SUM(F1180:F1199)-SUM(H1180:H1186))))</x:f>
      </x:c>
      <x:c r="I1187" s="88" t="str">
        <x:f>IF(C1187="","",MAX(0,ROUND(D1187+E1187-F1187-G1187-H1187,2)))</x:f>
      </x:c>
      <x:c r="J1187" s="88" t="str">
        <x:f>IF(C1187="","",F1187+G1187+H1187)</x:f>
      </x:c>
      <x:c r="K1187" s="88" t="str">
        <x:f>IF(C1187="","",MAX(0,SUMIFS(SONDERZAHLUNGEN!$E$9:$E$128,SONDERZAHLUNGEN!$B$9:$B$128,C1187,SONDERZAHLUNGEN!$C$9:$C$128,A1187,SONDERZAHLUNGEN!$H$9:$H$128,"OK",SONDERZAHLUNGEN!$F$9:$F$128,"Ja")-G1187))</x:f>
      </x:c>
    </x:row>
    <x:row r="1188" ht="19" customHeight="1">
      <x:c r="A1188" s="90" t="n">
        <x:f>MONATSBUDGET!$A$66</x:f>
        <x:v>48000</x:v>
      </x:c>
      <x:c r="B1188" t="n">
        <x:f>9</x:f>
        <x:v>9</x:v>
      </x:c>
      <x:c r="C1188" t="str">
        <x:f>IF($N$17="","",$N$17)</x:f>
      </x:c>
      <x:c r="D1188" s="88" t="str">
        <x:f>IF(C1188="","",I1168)</x:f>
      </x:c>
      <x:c r="E1188" s="88" t="str">
        <x:f>IF(C1188="","",ROUND(D1188*$P$17/12,2))</x:f>
      </x:c>
      <x:c r="F1188" s="88" t="str">
        <x:f>IF(C1188="","",MIN(D1188+E1188,$Q$17))</x:f>
      </x:c>
      <x:c r="G1188" s="88" t="str">
        <x:f>IF(C1188="","",MIN(MAX(0,D1188+E1188-F1188),SUMIFS(SONDERZAHLUNGEN!$E$9:$E$128,SONDERZAHLUNGEN!$B$9:$B$128,C1188,SONDERZAHLUNGEN!$C$9:$C$128,A1188,SONDERZAHLUNGEN!$H$9:$H$128,"OK",SONDERZAHLUNGEN!$F$9:$F$128,"Ja")))</x:f>
      </x:c>
      <x:c r="H1188" s="88" t="str">
        <x:f>IF(C1188="","",MIN(MAX(0,D1188+E1188-F1188-G1188),MAX(0,IF(MONATSBUDGET!$C$66="",0,MONATSBUDGET!$C$66)-SUM(F1180:F1199)-SUM(H1180:H1187))))</x:f>
      </x:c>
      <x:c r="I1188" s="88" t="str">
        <x:f>IF(C1188="","",MAX(0,ROUND(D1188+E1188-F1188-G1188-H1188,2)))</x:f>
      </x:c>
      <x:c r="J1188" s="88" t="str">
        <x:f>IF(C1188="","",F1188+G1188+H1188)</x:f>
      </x:c>
      <x:c r="K1188" s="88" t="str">
        <x:f>IF(C1188="","",MAX(0,SUMIFS(SONDERZAHLUNGEN!$E$9:$E$128,SONDERZAHLUNGEN!$B$9:$B$128,C1188,SONDERZAHLUNGEN!$C$9:$C$128,A1188,SONDERZAHLUNGEN!$H$9:$H$128,"OK",SONDERZAHLUNGEN!$F$9:$F$128,"Ja")-G1188))</x:f>
      </x:c>
    </x:row>
    <x:row r="1189" ht="19" customHeight="1">
      <x:c r="A1189" s="90" t="n">
        <x:f>MONATSBUDGET!$A$66</x:f>
        <x:v>48000</x:v>
      </x:c>
      <x:c r="B1189" t="n">
        <x:f>10</x:f>
        <x:v>10</x:v>
      </x:c>
      <x:c r="C1189" t="str">
        <x:f>IF($N$18="","",$N$18)</x:f>
      </x:c>
      <x:c r="D1189" s="88" t="str">
        <x:f>IF(C1189="","",I1169)</x:f>
      </x:c>
      <x:c r="E1189" s="88" t="str">
        <x:f>IF(C1189="","",ROUND(D1189*$P$18/12,2))</x:f>
      </x:c>
      <x:c r="F1189" s="88" t="str">
        <x:f>IF(C1189="","",MIN(D1189+E1189,$Q$18))</x:f>
      </x:c>
      <x:c r="G1189" s="88" t="str">
        <x:f>IF(C1189="","",MIN(MAX(0,D1189+E1189-F1189),SUMIFS(SONDERZAHLUNGEN!$E$9:$E$128,SONDERZAHLUNGEN!$B$9:$B$128,C1189,SONDERZAHLUNGEN!$C$9:$C$128,A1189,SONDERZAHLUNGEN!$H$9:$H$128,"OK",SONDERZAHLUNGEN!$F$9:$F$128,"Ja")))</x:f>
      </x:c>
      <x:c r="H1189" s="88" t="str">
        <x:f>IF(C1189="","",MIN(MAX(0,D1189+E1189-F1189-G1189),MAX(0,IF(MONATSBUDGET!$C$66="",0,MONATSBUDGET!$C$66)-SUM(F1180:F1199)-SUM(H1180:H1188))))</x:f>
      </x:c>
      <x:c r="I1189" s="88" t="str">
        <x:f>IF(C1189="","",MAX(0,ROUND(D1189+E1189-F1189-G1189-H1189,2)))</x:f>
      </x:c>
      <x:c r="J1189" s="88" t="str">
        <x:f>IF(C1189="","",F1189+G1189+H1189)</x:f>
      </x:c>
      <x:c r="K1189" s="88" t="str">
        <x:f>IF(C1189="","",MAX(0,SUMIFS(SONDERZAHLUNGEN!$E$9:$E$128,SONDERZAHLUNGEN!$B$9:$B$128,C1189,SONDERZAHLUNGEN!$C$9:$C$128,A1189,SONDERZAHLUNGEN!$H$9:$H$128,"OK",SONDERZAHLUNGEN!$F$9:$F$128,"Ja")-G1189))</x:f>
      </x:c>
    </x:row>
    <x:row r="1190" ht="19" customHeight="1">
      <x:c r="A1190" s="90" t="n">
        <x:f>MONATSBUDGET!$A$66</x:f>
        <x:v>48000</x:v>
      </x:c>
      <x:c r="B1190" t="n">
        <x:f>11</x:f>
        <x:v>11</x:v>
      </x:c>
      <x:c r="C1190" t="str">
        <x:f>IF($N$19="","",$N$19)</x:f>
      </x:c>
      <x:c r="D1190" s="88" t="str">
        <x:f>IF(C1190="","",I1170)</x:f>
      </x:c>
      <x:c r="E1190" s="88" t="str">
        <x:f>IF(C1190="","",ROUND(D1190*$P$19/12,2))</x:f>
      </x:c>
      <x:c r="F1190" s="88" t="str">
        <x:f>IF(C1190="","",MIN(D1190+E1190,$Q$19))</x:f>
      </x:c>
      <x:c r="G1190" s="88" t="str">
        <x:f>IF(C1190="","",MIN(MAX(0,D1190+E1190-F1190),SUMIFS(SONDERZAHLUNGEN!$E$9:$E$128,SONDERZAHLUNGEN!$B$9:$B$128,C1190,SONDERZAHLUNGEN!$C$9:$C$128,A1190,SONDERZAHLUNGEN!$H$9:$H$128,"OK",SONDERZAHLUNGEN!$F$9:$F$128,"Ja")))</x:f>
      </x:c>
      <x:c r="H1190" s="88" t="str">
        <x:f>IF(C1190="","",MIN(MAX(0,D1190+E1190-F1190-G1190),MAX(0,IF(MONATSBUDGET!$C$66="",0,MONATSBUDGET!$C$66)-SUM(F1180:F1199)-SUM(H1180:H1189))))</x:f>
      </x:c>
      <x:c r="I1190" s="88" t="str">
        <x:f>IF(C1190="","",MAX(0,ROUND(D1190+E1190-F1190-G1190-H1190,2)))</x:f>
      </x:c>
      <x:c r="J1190" s="88" t="str">
        <x:f>IF(C1190="","",F1190+G1190+H1190)</x:f>
      </x:c>
      <x:c r="K1190" s="88" t="str">
        <x:f>IF(C1190="","",MAX(0,SUMIFS(SONDERZAHLUNGEN!$E$9:$E$128,SONDERZAHLUNGEN!$B$9:$B$128,C1190,SONDERZAHLUNGEN!$C$9:$C$128,A1190,SONDERZAHLUNGEN!$H$9:$H$128,"OK",SONDERZAHLUNGEN!$F$9:$F$128,"Ja")-G1190))</x:f>
      </x:c>
    </x:row>
    <x:row r="1191" ht="19" customHeight="1">
      <x:c r="A1191" s="90" t="n">
        <x:f>MONATSBUDGET!$A$66</x:f>
        <x:v>48000</x:v>
      </x:c>
      <x:c r="B1191" t="n">
        <x:f>12</x:f>
        <x:v>12</x:v>
      </x:c>
      <x:c r="C1191" t="str">
        <x:f>IF($N$20="","",$N$20)</x:f>
      </x:c>
      <x:c r="D1191" s="88" t="str">
        <x:f>IF(C1191="","",I1171)</x:f>
      </x:c>
      <x:c r="E1191" s="88" t="str">
        <x:f>IF(C1191="","",ROUND(D1191*$P$20/12,2))</x:f>
      </x:c>
      <x:c r="F1191" s="88" t="str">
        <x:f>IF(C1191="","",MIN(D1191+E1191,$Q$20))</x:f>
      </x:c>
      <x:c r="G1191" s="88" t="str">
        <x:f>IF(C1191="","",MIN(MAX(0,D1191+E1191-F1191),SUMIFS(SONDERZAHLUNGEN!$E$9:$E$128,SONDERZAHLUNGEN!$B$9:$B$128,C1191,SONDERZAHLUNGEN!$C$9:$C$128,A1191,SONDERZAHLUNGEN!$H$9:$H$128,"OK",SONDERZAHLUNGEN!$F$9:$F$128,"Ja")))</x:f>
      </x:c>
      <x:c r="H1191" s="88" t="str">
        <x:f>IF(C1191="","",MIN(MAX(0,D1191+E1191-F1191-G1191),MAX(0,IF(MONATSBUDGET!$C$66="",0,MONATSBUDGET!$C$66)-SUM(F1180:F1199)-SUM(H1180:H1190))))</x:f>
      </x:c>
      <x:c r="I1191" s="88" t="str">
        <x:f>IF(C1191="","",MAX(0,ROUND(D1191+E1191-F1191-G1191-H1191,2)))</x:f>
      </x:c>
      <x:c r="J1191" s="88" t="str">
        <x:f>IF(C1191="","",F1191+G1191+H1191)</x:f>
      </x:c>
      <x:c r="K1191" s="88" t="str">
        <x:f>IF(C1191="","",MAX(0,SUMIFS(SONDERZAHLUNGEN!$E$9:$E$128,SONDERZAHLUNGEN!$B$9:$B$128,C1191,SONDERZAHLUNGEN!$C$9:$C$128,A1191,SONDERZAHLUNGEN!$H$9:$H$128,"OK",SONDERZAHLUNGEN!$F$9:$F$128,"Ja")-G1191))</x:f>
      </x:c>
    </x:row>
    <x:row r="1192" ht="19" customHeight="1">
      <x:c r="A1192" s="90" t="n">
        <x:f>MONATSBUDGET!$A$66</x:f>
        <x:v>48000</x:v>
      </x:c>
      <x:c r="B1192" t="n">
        <x:f>13</x:f>
        <x:v>13</x:v>
      </x:c>
      <x:c r="C1192" t="str">
        <x:f>IF($N$21="","",$N$21)</x:f>
      </x:c>
      <x:c r="D1192" s="88" t="str">
        <x:f>IF(C1192="","",I1172)</x:f>
      </x:c>
      <x:c r="E1192" s="88" t="str">
        <x:f>IF(C1192="","",ROUND(D1192*$P$21/12,2))</x:f>
      </x:c>
      <x:c r="F1192" s="88" t="str">
        <x:f>IF(C1192="","",MIN(D1192+E1192,$Q$21))</x:f>
      </x:c>
      <x:c r="G1192" s="88" t="str">
        <x:f>IF(C1192="","",MIN(MAX(0,D1192+E1192-F1192),SUMIFS(SONDERZAHLUNGEN!$E$9:$E$128,SONDERZAHLUNGEN!$B$9:$B$128,C1192,SONDERZAHLUNGEN!$C$9:$C$128,A1192,SONDERZAHLUNGEN!$H$9:$H$128,"OK",SONDERZAHLUNGEN!$F$9:$F$128,"Ja")))</x:f>
      </x:c>
      <x:c r="H1192" s="88" t="str">
        <x:f>IF(C1192="","",MIN(MAX(0,D1192+E1192-F1192-G1192),MAX(0,IF(MONATSBUDGET!$C$66="",0,MONATSBUDGET!$C$66)-SUM(F1180:F1199)-SUM(H1180:H1191))))</x:f>
      </x:c>
      <x:c r="I1192" s="88" t="str">
        <x:f>IF(C1192="","",MAX(0,ROUND(D1192+E1192-F1192-G1192-H1192,2)))</x:f>
      </x:c>
      <x:c r="J1192" s="88" t="str">
        <x:f>IF(C1192="","",F1192+G1192+H1192)</x:f>
      </x:c>
      <x:c r="K1192" s="88" t="str">
        <x:f>IF(C1192="","",MAX(0,SUMIFS(SONDERZAHLUNGEN!$E$9:$E$128,SONDERZAHLUNGEN!$B$9:$B$128,C1192,SONDERZAHLUNGEN!$C$9:$C$128,A1192,SONDERZAHLUNGEN!$H$9:$H$128,"OK",SONDERZAHLUNGEN!$F$9:$F$128,"Ja")-G1192))</x:f>
      </x:c>
    </x:row>
    <x:row r="1193" ht="19" customHeight="1">
      <x:c r="A1193" s="90" t="n">
        <x:f>MONATSBUDGET!$A$66</x:f>
        <x:v>48000</x:v>
      </x:c>
      <x:c r="B1193" t="n">
        <x:f>14</x:f>
        <x:v>14</x:v>
      </x:c>
      <x:c r="C1193" t="str">
        <x:f>IF($N$22="","",$N$22)</x:f>
      </x:c>
      <x:c r="D1193" s="88" t="str">
        <x:f>IF(C1193="","",I1173)</x:f>
      </x:c>
      <x:c r="E1193" s="88" t="str">
        <x:f>IF(C1193="","",ROUND(D1193*$P$22/12,2))</x:f>
      </x:c>
      <x:c r="F1193" s="88" t="str">
        <x:f>IF(C1193="","",MIN(D1193+E1193,$Q$22))</x:f>
      </x:c>
      <x:c r="G1193" s="88" t="str">
        <x:f>IF(C1193="","",MIN(MAX(0,D1193+E1193-F1193),SUMIFS(SONDERZAHLUNGEN!$E$9:$E$128,SONDERZAHLUNGEN!$B$9:$B$128,C1193,SONDERZAHLUNGEN!$C$9:$C$128,A1193,SONDERZAHLUNGEN!$H$9:$H$128,"OK",SONDERZAHLUNGEN!$F$9:$F$128,"Ja")))</x:f>
      </x:c>
      <x:c r="H1193" s="88" t="str">
        <x:f>IF(C1193="","",MIN(MAX(0,D1193+E1193-F1193-G1193),MAX(0,IF(MONATSBUDGET!$C$66="",0,MONATSBUDGET!$C$66)-SUM(F1180:F1199)-SUM(H1180:H1192))))</x:f>
      </x:c>
      <x:c r="I1193" s="88" t="str">
        <x:f>IF(C1193="","",MAX(0,ROUND(D1193+E1193-F1193-G1193-H1193,2)))</x:f>
      </x:c>
      <x:c r="J1193" s="88" t="str">
        <x:f>IF(C1193="","",F1193+G1193+H1193)</x:f>
      </x:c>
      <x:c r="K1193" s="88" t="str">
        <x:f>IF(C1193="","",MAX(0,SUMIFS(SONDERZAHLUNGEN!$E$9:$E$128,SONDERZAHLUNGEN!$B$9:$B$128,C1193,SONDERZAHLUNGEN!$C$9:$C$128,A1193,SONDERZAHLUNGEN!$H$9:$H$128,"OK",SONDERZAHLUNGEN!$F$9:$F$128,"Ja")-G1193))</x:f>
      </x:c>
    </x:row>
    <x:row r="1194" ht="19" customHeight="1">
      <x:c r="A1194" s="90" t="n">
        <x:f>MONATSBUDGET!$A$66</x:f>
        <x:v>48000</x:v>
      </x:c>
      <x:c r="B1194" t="n">
        <x:f>15</x:f>
        <x:v>15</x:v>
      </x:c>
      <x:c r="C1194" t="str">
        <x:f>IF($N$23="","",$N$23)</x:f>
      </x:c>
      <x:c r="D1194" s="88" t="str">
        <x:f>IF(C1194="","",I1174)</x:f>
      </x:c>
      <x:c r="E1194" s="88" t="str">
        <x:f>IF(C1194="","",ROUND(D1194*$P$23/12,2))</x:f>
      </x:c>
      <x:c r="F1194" s="88" t="str">
        <x:f>IF(C1194="","",MIN(D1194+E1194,$Q$23))</x:f>
      </x:c>
      <x:c r="G1194" s="88" t="str">
        <x:f>IF(C1194="","",MIN(MAX(0,D1194+E1194-F1194),SUMIFS(SONDERZAHLUNGEN!$E$9:$E$128,SONDERZAHLUNGEN!$B$9:$B$128,C1194,SONDERZAHLUNGEN!$C$9:$C$128,A1194,SONDERZAHLUNGEN!$H$9:$H$128,"OK",SONDERZAHLUNGEN!$F$9:$F$128,"Ja")))</x:f>
      </x:c>
      <x:c r="H1194" s="88" t="str">
        <x:f>IF(C1194="","",MIN(MAX(0,D1194+E1194-F1194-G1194),MAX(0,IF(MONATSBUDGET!$C$66="",0,MONATSBUDGET!$C$66)-SUM(F1180:F1199)-SUM(H1180:H1193))))</x:f>
      </x:c>
      <x:c r="I1194" s="88" t="str">
        <x:f>IF(C1194="","",MAX(0,ROUND(D1194+E1194-F1194-G1194-H1194,2)))</x:f>
      </x:c>
      <x:c r="J1194" s="88" t="str">
        <x:f>IF(C1194="","",F1194+G1194+H1194)</x:f>
      </x:c>
      <x:c r="K1194" s="88" t="str">
        <x:f>IF(C1194="","",MAX(0,SUMIFS(SONDERZAHLUNGEN!$E$9:$E$128,SONDERZAHLUNGEN!$B$9:$B$128,C1194,SONDERZAHLUNGEN!$C$9:$C$128,A1194,SONDERZAHLUNGEN!$H$9:$H$128,"OK",SONDERZAHLUNGEN!$F$9:$F$128,"Ja")-G1194))</x:f>
      </x:c>
    </x:row>
    <x:row r="1195" ht="19" customHeight="1">
      <x:c r="A1195" s="90" t="n">
        <x:f>MONATSBUDGET!$A$66</x:f>
        <x:v>48000</x:v>
      </x:c>
      <x:c r="B1195" t="n">
        <x:f>16</x:f>
        <x:v>16</x:v>
      </x:c>
      <x:c r="C1195" t="str">
        <x:f>IF($N$24="","",$N$24)</x:f>
      </x:c>
      <x:c r="D1195" s="88" t="str">
        <x:f>IF(C1195="","",I1175)</x:f>
      </x:c>
      <x:c r="E1195" s="88" t="str">
        <x:f>IF(C1195="","",ROUND(D1195*$P$24/12,2))</x:f>
      </x:c>
      <x:c r="F1195" s="88" t="str">
        <x:f>IF(C1195="","",MIN(D1195+E1195,$Q$24))</x:f>
      </x:c>
      <x:c r="G1195" s="88" t="str">
        <x:f>IF(C1195="","",MIN(MAX(0,D1195+E1195-F1195),SUMIFS(SONDERZAHLUNGEN!$E$9:$E$128,SONDERZAHLUNGEN!$B$9:$B$128,C1195,SONDERZAHLUNGEN!$C$9:$C$128,A1195,SONDERZAHLUNGEN!$H$9:$H$128,"OK",SONDERZAHLUNGEN!$F$9:$F$128,"Ja")))</x:f>
      </x:c>
      <x:c r="H1195" s="88" t="str">
        <x:f>IF(C1195="","",MIN(MAX(0,D1195+E1195-F1195-G1195),MAX(0,IF(MONATSBUDGET!$C$66="",0,MONATSBUDGET!$C$66)-SUM(F1180:F1199)-SUM(H1180:H1194))))</x:f>
      </x:c>
      <x:c r="I1195" s="88" t="str">
        <x:f>IF(C1195="","",MAX(0,ROUND(D1195+E1195-F1195-G1195-H1195,2)))</x:f>
      </x:c>
      <x:c r="J1195" s="88" t="str">
        <x:f>IF(C1195="","",F1195+G1195+H1195)</x:f>
      </x:c>
      <x:c r="K1195" s="88" t="str">
        <x:f>IF(C1195="","",MAX(0,SUMIFS(SONDERZAHLUNGEN!$E$9:$E$128,SONDERZAHLUNGEN!$B$9:$B$128,C1195,SONDERZAHLUNGEN!$C$9:$C$128,A1195,SONDERZAHLUNGEN!$H$9:$H$128,"OK",SONDERZAHLUNGEN!$F$9:$F$128,"Ja")-G1195))</x:f>
      </x:c>
    </x:row>
    <x:row r="1196" ht="19" customHeight="1">
      <x:c r="A1196" s="90" t="n">
        <x:f>MONATSBUDGET!$A$66</x:f>
        <x:v>48000</x:v>
      </x:c>
      <x:c r="B1196" t="n">
        <x:f>17</x:f>
        <x:v>17</x:v>
      </x:c>
      <x:c r="C1196" t="str">
        <x:f>IF($N$25="","",$N$25)</x:f>
      </x:c>
      <x:c r="D1196" s="88" t="str">
        <x:f>IF(C1196="","",I1176)</x:f>
      </x:c>
      <x:c r="E1196" s="88" t="str">
        <x:f>IF(C1196="","",ROUND(D1196*$P$25/12,2))</x:f>
      </x:c>
      <x:c r="F1196" s="88" t="str">
        <x:f>IF(C1196="","",MIN(D1196+E1196,$Q$25))</x:f>
      </x:c>
      <x:c r="G1196" s="88" t="str">
        <x:f>IF(C1196="","",MIN(MAX(0,D1196+E1196-F1196),SUMIFS(SONDERZAHLUNGEN!$E$9:$E$128,SONDERZAHLUNGEN!$B$9:$B$128,C1196,SONDERZAHLUNGEN!$C$9:$C$128,A1196,SONDERZAHLUNGEN!$H$9:$H$128,"OK",SONDERZAHLUNGEN!$F$9:$F$128,"Ja")))</x:f>
      </x:c>
      <x:c r="H1196" s="88" t="str">
        <x:f>IF(C1196="","",MIN(MAX(0,D1196+E1196-F1196-G1196),MAX(0,IF(MONATSBUDGET!$C$66="",0,MONATSBUDGET!$C$66)-SUM(F1180:F1199)-SUM(H1180:H1195))))</x:f>
      </x:c>
      <x:c r="I1196" s="88" t="str">
        <x:f>IF(C1196="","",MAX(0,ROUND(D1196+E1196-F1196-G1196-H1196,2)))</x:f>
      </x:c>
      <x:c r="J1196" s="88" t="str">
        <x:f>IF(C1196="","",F1196+G1196+H1196)</x:f>
      </x:c>
      <x:c r="K1196" s="88" t="str">
        <x:f>IF(C1196="","",MAX(0,SUMIFS(SONDERZAHLUNGEN!$E$9:$E$128,SONDERZAHLUNGEN!$B$9:$B$128,C1196,SONDERZAHLUNGEN!$C$9:$C$128,A1196,SONDERZAHLUNGEN!$H$9:$H$128,"OK",SONDERZAHLUNGEN!$F$9:$F$128,"Ja")-G1196))</x:f>
      </x:c>
    </x:row>
    <x:row r="1197" ht="19" customHeight="1">
      <x:c r="A1197" s="90" t="n">
        <x:f>MONATSBUDGET!$A$66</x:f>
        <x:v>48000</x:v>
      </x:c>
      <x:c r="B1197" t="n">
        <x:f>18</x:f>
        <x:v>18</x:v>
      </x:c>
      <x:c r="C1197" t="str">
        <x:f>IF($N$26="","",$N$26)</x:f>
      </x:c>
      <x:c r="D1197" s="88" t="str">
        <x:f>IF(C1197="","",I1177)</x:f>
      </x:c>
      <x:c r="E1197" s="88" t="str">
        <x:f>IF(C1197="","",ROUND(D1197*$P$26/12,2))</x:f>
      </x:c>
      <x:c r="F1197" s="88" t="str">
        <x:f>IF(C1197="","",MIN(D1197+E1197,$Q$26))</x:f>
      </x:c>
      <x:c r="G1197" s="88" t="str">
        <x:f>IF(C1197="","",MIN(MAX(0,D1197+E1197-F1197),SUMIFS(SONDERZAHLUNGEN!$E$9:$E$128,SONDERZAHLUNGEN!$B$9:$B$128,C1197,SONDERZAHLUNGEN!$C$9:$C$128,A1197,SONDERZAHLUNGEN!$H$9:$H$128,"OK",SONDERZAHLUNGEN!$F$9:$F$128,"Ja")))</x:f>
      </x:c>
      <x:c r="H1197" s="88" t="str">
        <x:f>IF(C1197="","",MIN(MAX(0,D1197+E1197-F1197-G1197),MAX(0,IF(MONATSBUDGET!$C$66="",0,MONATSBUDGET!$C$66)-SUM(F1180:F1199)-SUM(H1180:H1196))))</x:f>
      </x:c>
      <x:c r="I1197" s="88" t="str">
        <x:f>IF(C1197="","",MAX(0,ROUND(D1197+E1197-F1197-G1197-H1197,2)))</x:f>
      </x:c>
      <x:c r="J1197" s="88" t="str">
        <x:f>IF(C1197="","",F1197+G1197+H1197)</x:f>
      </x:c>
      <x:c r="K1197" s="88" t="str">
        <x:f>IF(C1197="","",MAX(0,SUMIFS(SONDERZAHLUNGEN!$E$9:$E$128,SONDERZAHLUNGEN!$B$9:$B$128,C1197,SONDERZAHLUNGEN!$C$9:$C$128,A1197,SONDERZAHLUNGEN!$H$9:$H$128,"OK",SONDERZAHLUNGEN!$F$9:$F$128,"Ja")-G1197))</x:f>
      </x:c>
    </x:row>
    <x:row r="1198" ht="19" customHeight="1">
      <x:c r="A1198" s="90" t="n">
        <x:f>MONATSBUDGET!$A$66</x:f>
        <x:v>48000</x:v>
      </x:c>
      <x:c r="B1198" t="n">
        <x:f>19</x:f>
        <x:v>19</x:v>
      </x:c>
      <x:c r="C1198" t="str">
        <x:f>IF($N$27="","",$N$27)</x:f>
      </x:c>
      <x:c r="D1198" s="88" t="str">
        <x:f>IF(C1198="","",I1178)</x:f>
      </x:c>
      <x:c r="E1198" s="88" t="str">
        <x:f>IF(C1198="","",ROUND(D1198*$P$27/12,2))</x:f>
      </x:c>
      <x:c r="F1198" s="88" t="str">
        <x:f>IF(C1198="","",MIN(D1198+E1198,$Q$27))</x:f>
      </x:c>
      <x:c r="G1198" s="88" t="str">
        <x:f>IF(C1198="","",MIN(MAX(0,D1198+E1198-F1198),SUMIFS(SONDERZAHLUNGEN!$E$9:$E$128,SONDERZAHLUNGEN!$B$9:$B$128,C1198,SONDERZAHLUNGEN!$C$9:$C$128,A1198,SONDERZAHLUNGEN!$H$9:$H$128,"OK",SONDERZAHLUNGEN!$F$9:$F$128,"Ja")))</x:f>
      </x:c>
      <x:c r="H1198" s="88" t="str">
        <x:f>IF(C1198="","",MIN(MAX(0,D1198+E1198-F1198-G1198),MAX(0,IF(MONATSBUDGET!$C$66="",0,MONATSBUDGET!$C$66)-SUM(F1180:F1199)-SUM(H1180:H1197))))</x:f>
      </x:c>
      <x:c r="I1198" s="88" t="str">
        <x:f>IF(C1198="","",MAX(0,ROUND(D1198+E1198-F1198-G1198-H1198,2)))</x:f>
      </x:c>
      <x:c r="J1198" s="88" t="str">
        <x:f>IF(C1198="","",F1198+G1198+H1198)</x:f>
      </x:c>
      <x:c r="K1198" s="88" t="str">
        <x:f>IF(C1198="","",MAX(0,SUMIFS(SONDERZAHLUNGEN!$E$9:$E$128,SONDERZAHLUNGEN!$B$9:$B$128,C1198,SONDERZAHLUNGEN!$C$9:$C$128,A1198,SONDERZAHLUNGEN!$H$9:$H$128,"OK",SONDERZAHLUNGEN!$F$9:$F$128,"Ja")-G1198))</x:f>
      </x:c>
    </x:row>
    <x:row r="1199" ht="19" customHeight="1">
      <x:c r="A1199" s="90" t="n">
        <x:f>MONATSBUDGET!$A$66</x:f>
        <x:v>48000</x:v>
      </x:c>
      <x:c r="B1199" t="n">
        <x:f>20</x:f>
        <x:v>20</x:v>
      </x:c>
      <x:c r="C1199" t="str">
        <x:f>IF($N$28="","",$N$28)</x:f>
      </x:c>
      <x:c r="D1199" s="88" t="str">
        <x:f>IF(C1199="","",I1179)</x:f>
      </x:c>
      <x:c r="E1199" s="88" t="str">
        <x:f>IF(C1199="","",ROUND(D1199*$P$28/12,2))</x:f>
      </x:c>
      <x:c r="F1199" s="88" t="str">
        <x:f>IF(C1199="","",MIN(D1199+E1199,$Q$28))</x:f>
      </x:c>
      <x:c r="G1199" s="88" t="str">
        <x:f>IF(C1199="","",MIN(MAX(0,D1199+E1199-F1199),SUMIFS(SONDERZAHLUNGEN!$E$9:$E$128,SONDERZAHLUNGEN!$B$9:$B$128,C1199,SONDERZAHLUNGEN!$C$9:$C$128,A1199,SONDERZAHLUNGEN!$H$9:$H$128,"OK",SONDERZAHLUNGEN!$F$9:$F$128,"Ja")))</x:f>
      </x:c>
      <x:c r="H1199" s="88" t="str">
        <x:f>IF(C1199="","",MIN(MAX(0,D1199+E1199-F1199-G1199),MAX(0,IF(MONATSBUDGET!$C$66="",0,MONATSBUDGET!$C$66)-SUM(F1180:F1199)-SUM(H1180:H1198))))</x:f>
      </x:c>
      <x:c r="I1199" s="88" t="str">
        <x:f>IF(C1199="","",MAX(0,ROUND(D1199+E1199-F1199-G1199-H1199,2)))</x:f>
      </x:c>
      <x:c r="J1199" s="88" t="str">
        <x:f>IF(C1199="","",F1199+G1199+H1199)</x:f>
      </x:c>
      <x:c r="K1199" s="88" t="str">
        <x:f>IF(C1199="","",MAX(0,SUMIFS(SONDERZAHLUNGEN!$E$9:$E$128,SONDERZAHLUNGEN!$B$9:$B$128,C1199,SONDERZAHLUNGEN!$C$9:$C$128,A1199,SONDERZAHLUNGEN!$H$9:$H$128,"OK",SONDERZAHLUNGEN!$F$9:$F$128,"Ja")-G1199))</x:f>
      </x:c>
    </x:row>
    <x:row r="1200" ht="19" customHeight="1">
      <x:c r="A1200" s="90" t="n">
        <x:f>MONATSBUDGET!$A$67</x:f>
        <x:v>48030</x:v>
      </x:c>
      <x:c r="B1200" t="n">
        <x:f>1</x:f>
        <x:v>1</x:v>
      </x:c>
      <x:c r="C1200" t="str">
        <x:f>IF($N$9="","",$N$9)</x:f>
      </x:c>
      <x:c r="D1200" s="88" t="str">
        <x:f>IF(C1200="","",I1180)</x:f>
      </x:c>
      <x:c r="E1200" s="88" t="str">
        <x:f>IF(C1200="","",ROUND(D1200*$P$9/12,2))</x:f>
      </x:c>
      <x:c r="F1200" s="88" t="str">
        <x:f>IF(C1200="","",MIN(D1200+E1200,$Q$9))</x:f>
      </x:c>
      <x:c r="G1200" s="88" t="str">
        <x:f>IF(C1200="","",MIN(MAX(0,D1200+E1200-F1200),SUMIFS(SONDERZAHLUNGEN!$E$9:$E$128,SONDERZAHLUNGEN!$B$9:$B$128,C1200,SONDERZAHLUNGEN!$C$9:$C$128,A1200,SONDERZAHLUNGEN!$H$9:$H$128,"OK",SONDERZAHLUNGEN!$F$9:$F$128,"Ja")))</x:f>
      </x:c>
      <x:c r="H1200" s="88" t="str">
        <x:f>IF(C1200="","",MIN(MAX(0,D1200+E1200-F1200-G1200),MAX(0,IF(MONATSBUDGET!$C$67="",0,MONATSBUDGET!$C$67)-SUM(F1200:F1219)-0)))</x:f>
      </x:c>
      <x:c r="I1200" s="88" t="str">
        <x:f>IF(C1200="","",MAX(0,ROUND(D1200+E1200-F1200-G1200-H1200,2)))</x:f>
      </x:c>
      <x:c r="J1200" s="88" t="str">
        <x:f>IF(C1200="","",F1200+G1200+H1200)</x:f>
      </x:c>
      <x:c r="K1200" s="88" t="str">
        <x:f>IF(C1200="","",MAX(0,SUMIFS(SONDERZAHLUNGEN!$E$9:$E$128,SONDERZAHLUNGEN!$B$9:$B$128,C1200,SONDERZAHLUNGEN!$C$9:$C$128,A1200,SONDERZAHLUNGEN!$H$9:$H$128,"OK",SONDERZAHLUNGEN!$F$9:$F$128,"Ja")-G1200))</x:f>
      </x:c>
    </x:row>
    <x:row r="1201" ht="19" customHeight="1">
      <x:c r="A1201" s="90" t="n">
        <x:f>MONATSBUDGET!$A$67</x:f>
        <x:v>48030</x:v>
      </x:c>
      <x:c r="B1201" t="n">
        <x:f>2</x:f>
        <x:v>2</x:v>
      </x:c>
      <x:c r="C1201" t="str">
        <x:f>IF($N$10="","",$N$10)</x:f>
      </x:c>
      <x:c r="D1201" s="88" t="str">
        <x:f>IF(C1201="","",I1181)</x:f>
      </x:c>
      <x:c r="E1201" s="88" t="str">
        <x:f>IF(C1201="","",ROUND(D1201*$P$10/12,2))</x:f>
      </x:c>
      <x:c r="F1201" s="88" t="str">
        <x:f>IF(C1201="","",MIN(D1201+E1201,$Q$10))</x:f>
      </x:c>
      <x:c r="G1201" s="88" t="str">
        <x:f>IF(C1201="","",MIN(MAX(0,D1201+E1201-F1201),SUMIFS(SONDERZAHLUNGEN!$E$9:$E$128,SONDERZAHLUNGEN!$B$9:$B$128,C1201,SONDERZAHLUNGEN!$C$9:$C$128,A1201,SONDERZAHLUNGEN!$H$9:$H$128,"OK",SONDERZAHLUNGEN!$F$9:$F$128,"Ja")))</x:f>
      </x:c>
      <x:c r="H1201" s="88" t="str">
        <x:f>IF(C1201="","",MIN(MAX(0,D1201+E1201-F1201-G1201),MAX(0,IF(MONATSBUDGET!$C$67="",0,MONATSBUDGET!$C$67)-SUM(F1200:F1219)-SUM(H1200:H1200))))</x:f>
      </x:c>
      <x:c r="I1201" s="88" t="str">
        <x:f>IF(C1201="","",MAX(0,ROUND(D1201+E1201-F1201-G1201-H1201,2)))</x:f>
      </x:c>
      <x:c r="J1201" s="88" t="str">
        <x:f>IF(C1201="","",F1201+G1201+H1201)</x:f>
      </x:c>
      <x:c r="K1201" s="88" t="str">
        <x:f>IF(C1201="","",MAX(0,SUMIFS(SONDERZAHLUNGEN!$E$9:$E$128,SONDERZAHLUNGEN!$B$9:$B$128,C1201,SONDERZAHLUNGEN!$C$9:$C$128,A1201,SONDERZAHLUNGEN!$H$9:$H$128,"OK",SONDERZAHLUNGEN!$F$9:$F$128,"Ja")-G1201))</x:f>
      </x:c>
    </x:row>
    <x:row r="1202" ht="19" customHeight="1">
      <x:c r="A1202" s="90" t="n">
        <x:f>MONATSBUDGET!$A$67</x:f>
        <x:v>48030</x:v>
      </x:c>
      <x:c r="B1202" t="n">
        <x:f>3</x:f>
        <x:v>3</x:v>
      </x:c>
      <x:c r="C1202" t="str">
        <x:f>IF($N$11="","",$N$11)</x:f>
      </x:c>
      <x:c r="D1202" s="88" t="str">
        <x:f>IF(C1202="","",I1182)</x:f>
      </x:c>
      <x:c r="E1202" s="88" t="str">
        <x:f>IF(C1202="","",ROUND(D1202*$P$11/12,2))</x:f>
      </x:c>
      <x:c r="F1202" s="88" t="str">
        <x:f>IF(C1202="","",MIN(D1202+E1202,$Q$11))</x:f>
      </x:c>
      <x:c r="G1202" s="88" t="str">
        <x:f>IF(C1202="","",MIN(MAX(0,D1202+E1202-F1202),SUMIFS(SONDERZAHLUNGEN!$E$9:$E$128,SONDERZAHLUNGEN!$B$9:$B$128,C1202,SONDERZAHLUNGEN!$C$9:$C$128,A1202,SONDERZAHLUNGEN!$H$9:$H$128,"OK",SONDERZAHLUNGEN!$F$9:$F$128,"Ja")))</x:f>
      </x:c>
      <x:c r="H1202" s="88" t="str">
        <x:f>IF(C1202="","",MIN(MAX(0,D1202+E1202-F1202-G1202),MAX(0,IF(MONATSBUDGET!$C$67="",0,MONATSBUDGET!$C$67)-SUM(F1200:F1219)-SUM(H1200:H1201))))</x:f>
      </x:c>
      <x:c r="I1202" s="88" t="str">
        <x:f>IF(C1202="","",MAX(0,ROUND(D1202+E1202-F1202-G1202-H1202,2)))</x:f>
      </x:c>
      <x:c r="J1202" s="88" t="str">
        <x:f>IF(C1202="","",F1202+G1202+H1202)</x:f>
      </x:c>
      <x:c r="K1202" s="88" t="str">
        <x:f>IF(C1202="","",MAX(0,SUMIFS(SONDERZAHLUNGEN!$E$9:$E$128,SONDERZAHLUNGEN!$B$9:$B$128,C1202,SONDERZAHLUNGEN!$C$9:$C$128,A1202,SONDERZAHLUNGEN!$H$9:$H$128,"OK",SONDERZAHLUNGEN!$F$9:$F$128,"Ja")-G1202))</x:f>
      </x:c>
    </x:row>
    <x:row r="1203" ht="19" customHeight="1">
      <x:c r="A1203" s="90" t="n">
        <x:f>MONATSBUDGET!$A$67</x:f>
        <x:v>48030</x:v>
      </x:c>
      <x:c r="B1203" t="n">
        <x:f>4</x:f>
        <x:v>4</x:v>
      </x:c>
      <x:c r="C1203" t="str">
        <x:f>IF($N$12="","",$N$12)</x:f>
      </x:c>
      <x:c r="D1203" s="88" t="str">
        <x:f>IF(C1203="","",I1183)</x:f>
      </x:c>
      <x:c r="E1203" s="88" t="str">
        <x:f>IF(C1203="","",ROUND(D1203*$P$12/12,2))</x:f>
      </x:c>
      <x:c r="F1203" s="88" t="str">
        <x:f>IF(C1203="","",MIN(D1203+E1203,$Q$12))</x:f>
      </x:c>
      <x:c r="G1203" s="88" t="str">
        <x:f>IF(C1203="","",MIN(MAX(0,D1203+E1203-F1203),SUMIFS(SONDERZAHLUNGEN!$E$9:$E$128,SONDERZAHLUNGEN!$B$9:$B$128,C1203,SONDERZAHLUNGEN!$C$9:$C$128,A1203,SONDERZAHLUNGEN!$H$9:$H$128,"OK",SONDERZAHLUNGEN!$F$9:$F$128,"Ja")))</x:f>
      </x:c>
      <x:c r="H1203" s="88" t="str">
        <x:f>IF(C1203="","",MIN(MAX(0,D1203+E1203-F1203-G1203),MAX(0,IF(MONATSBUDGET!$C$67="",0,MONATSBUDGET!$C$67)-SUM(F1200:F1219)-SUM(H1200:H1202))))</x:f>
      </x:c>
      <x:c r="I1203" s="88" t="str">
        <x:f>IF(C1203="","",MAX(0,ROUND(D1203+E1203-F1203-G1203-H1203,2)))</x:f>
      </x:c>
      <x:c r="J1203" s="88" t="str">
        <x:f>IF(C1203="","",F1203+G1203+H1203)</x:f>
      </x:c>
      <x:c r="K1203" s="88" t="str">
        <x:f>IF(C1203="","",MAX(0,SUMIFS(SONDERZAHLUNGEN!$E$9:$E$128,SONDERZAHLUNGEN!$B$9:$B$128,C1203,SONDERZAHLUNGEN!$C$9:$C$128,A1203,SONDERZAHLUNGEN!$H$9:$H$128,"OK",SONDERZAHLUNGEN!$F$9:$F$128,"Ja")-G1203))</x:f>
      </x:c>
    </x:row>
    <x:row r="1204" ht="19" customHeight="1">
      <x:c r="A1204" s="90" t="n">
        <x:f>MONATSBUDGET!$A$67</x:f>
        <x:v>48030</x:v>
      </x:c>
      <x:c r="B1204" t="n">
        <x:f>5</x:f>
        <x:v>5</x:v>
      </x:c>
      <x:c r="C1204" t="str">
        <x:f>IF($N$13="","",$N$13)</x:f>
      </x:c>
      <x:c r="D1204" s="88" t="str">
        <x:f>IF(C1204="","",I1184)</x:f>
      </x:c>
      <x:c r="E1204" s="88" t="str">
        <x:f>IF(C1204="","",ROUND(D1204*$P$13/12,2))</x:f>
      </x:c>
      <x:c r="F1204" s="88" t="str">
        <x:f>IF(C1204="","",MIN(D1204+E1204,$Q$13))</x:f>
      </x:c>
      <x:c r="G1204" s="88" t="str">
        <x:f>IF(C1204="","",MIN(MAX(0,D1204+E1204-F1204),SUMIFS(SONDERZAHLUNGEN!$E$9:$E$128,SONDERZAHLUNGEN!$B$9:$B$128,C1204,SONDERZAHLUNGEN!$C$9:$C$128,A1204,SONDERZAHLUNGEN!$H$9:$H$128,"OK",SONDERZAHLUNGEN!$F$9:$F$128,"Ja")))</x:f>
      </x:c>
      <x:c r="H1204" s="88" t="str">
        <x:f>IF(C1204="","",MIN(MAX(0,D1204+E1204-F1204-G1204),MAX(0,IF(MONATSBUDGET!$C$67="",0,MONATSBUDGET!$C$67)-SUM(F1200:F1219)-SUM(H1200:H1203))))</x:f>
      </x:c>
      <x:c r="I1204" s="88" t="str">
        <x:f>IF(C1204="","",MAX(0,ROUND(D1204+E1204-F1204-G1204-H1204,2)))</x:f>
      </x:c>
      <x:c r="J1204" s="88" t="str">
        <x:f>IF(C1204="","",F1204+G1204+H1204)</x:f>
      </x:c>
      <x:c r="K1204" s="88" t="str">
        <x:f>IF(C1204="","",MAX(0,SUMIFS(SONDERZAHLUNGEN!$E$9:$E$128,SONDERZAHLUNGEN!$B$9:$B$128,C1204,SONDERZAHLUNGEN!$C$9:$C$128,A1204,SONDERZAHLUNGEN!$H$9:$H$128,"OK",SONDERZAHLUNGEN!$F$9:$F$128,"Ja")-G1204))</x:f>
      </x:c>
    </x:row>
    <x:row r="1205" ht="19" customHeight="1">
      <x:c r="A1205" s="90" t="n">
        <x:f>MONATSBUDGET!$A$67</x:f>
        <x:v>48030</x:v>
      </x:c>
      <x:c r="B1205" t="n">
        <x:f>6</x:f>
        <x:v>6</x:v>
      </x:c>
      <x:c r="C1205" t="str">
        <x:f>IF($N$14="","",$N$14)</x:f>
      </x:c>
      <x:c r="D1205" s="88" t="str">
        <x:f>IF(C1205="","",I1185)</x:f>
      </x:c>
      <x:c r="E1205" s="88" t="str">
        <x:f>IF(C1205="","",ROUND(D1205*$P$14/12,2))</x:f>
      </x:c>
      <x:c r="F1205" s="88" t="str">
        <x:f>IF(C1205="","",MIN(D1205+E1205,$Q$14))</x:f>
      </x:c>
      <x:c r="G1205" s="88" t="str">
        <x:f>IF(C1205="","",MIN(MAX(0,D1205+E1205-F1205),SUMIFS(SONDERZAHLUNGEN!$E$9:$E$128,SONDERZAHLUNGEN!$B$9:$B$128,C1205,SONDERZAHLUNGEN!$C$9:$C$128,A1205,SONDERZAHLUNGEN!$H$9:$H$128,"OK",SONDERZAHLUNGEN!$F$9:$F$128,"Ja")))</x:f>
      </x:c>
      <x:c r="H1205" s="88" t="str">
        <x:f>IF(C1205="","",MIN(MAX(0,D1205+E1205-F1205-G1205),MAX(0,IF(MONATSBUDGET!$C$67="",0,MONATSBUDGET!$C$67)-SUM(F1200:F1219)-SUM(H1200:H1204))))</x:f>
      </x:c>
      <x:c r="I1205" s="88" t="str">
        <x:f>IF(C1205="","",MAX(0,ROUND(D1205+E1205-F1205-G1205-H1205,2)))</x:f>
      </x:c>
      <x:c r="J1205" s="88" t="str">
        <x:f>IF(C1205="","",F1205+G1205+H1205)</x:f>
      </x:c>
      <x:c r="K1205" s="88" t="str">
        <x:f>IF(C1205="","",MAX(0,SUMIFS(SONDERZAHLUNGEN!$E$9:$E$128,SONDERZAHLUNGEN!$B$9:$B$128,C1205,SONDERZAHLUNGEN!$C$9:$C$128,A1205,SONDERZAHLUNGEN!$H$9:$H$128,"OK",SONDERZAHLUNGEN!$F$9:$F$128,"Ja")-G1205))</x:f>
      </x:c>
    </x:row>
    <x:row r="1206" ht="19" customHeight="1">
      <x:c r="A1206" s="90" t="n">
        <x:f>MONATSBUDGET!$A$67</x:f>
        <x:v>48030</x:v>
      </x:c>
      <x:c r="B1206" t="n">
        <x:f>7</x:f>
        <x:v>7</x:v>
      </x:c>
      <x:c r="C1206" t="str">
        <x:f>IF($N$15="","",$N$15)</x:f>
      </x:c>
      <x:c r="D1206" s="88" t="str">
        <x:f>IF(C1206="","",I1186)</x:f>
      </x:c>
      <x:c r="E1206" s="88" t="str">
        <x:f>IF(C1206="","",ROUND(D1206*$P$15/12,2))</x:f>
      </x:c>
      <x:c r="F1206" s="88" t="str">
        <x:f>IF(C1206="","",MIN(D1206+E1206,$Q$15))</x:f>
      </x:c>
      <x:c r="G1206" s="88" t="str">
        <x:f>IF(C1206="","",MIN(MAX(0,D1206+E1206-F1206),SUMIFS(SONDERZAHLUNGEN!$E$9:$E$128,SONDERZAHLUNGEN!$B$9:$B$128,C1206,SONDERZAHLUNGEN!$C$9:$C$128,A1206,SONDERZAHLUNGEN!$H$9:$H$128,"OK",SONDERZAHLUNGEN!$F$9:$F$128,"Ja")))</x:f>
      </x:c>
      <x:c r="H1206" s="88" t="str">
        <x:f>IF(C1206="","",MIN(MAX(0,D1206+E1206-F1206-G1206),MAX(0,IF(MONATSBUDGET!$C$67="",0,MONATSBUDGET!$C$67)-SUM(F1200:F1219)-SUM(H1200:H1205))))</x:f>
      </x:c>
      <x:c r="I1206" s="88" t="str">
        <x:f>IF(C1206="","",MAX(0,ROUND(D1206+E1206-F1206-G1206-H1206,2)))</x:f>
      </x:c>
      <x:c r="J1206" s="88" t="str">
        <x:f>IF(C1206="","",F1206+G1206+H1206)</x:f>
      </x:c>
      <x:c r="K1206" s="88" t="str">
        <x:f>IF(C1206="","",MAX(0,SUMIFS(SONDERZAHLUNGEN!$E$9:$E$128,SONDERZAHLUNGEN!$B$9:$B$128,C1206,SONDERZAHLUNGEN!$C$9:$C$128,A1206,SONDERZAHLUNGEN!$H$9:$H$128,"OK",SONDERZAHLUNGEN!$F$9:$F$128,"Ja")-G1206))</x:f>
      </x:c>
    </x:row>
    <x:row r="1207" ht="19" customHeight="1">
      <x:c r="A1207" s="90" t="n">
        <x:f>MONATSBUDGET!$A$67</x:f>
        <x:v>48030</x:v>
      </x:c>
      <x:c r="B1207" t="n">
        <x:f>8</x:f>
        <x:v>8</x:v>
      </x:c>
      <x:c r="C1207" t="str">
        <x:f>IF($N$16="","",$N$16)</x:f>
      </x:c>
      <x:c r="D1207" s="88" t="str">
        <x:f>IF(C1207="","",I1187)</x:f>
      </x:c>
      <x:c r="E1207" s="88" t="str">
        <x:f>IF(C1207="","",ROUND(D1207*$P$16/12,2))</x:f>
      </x:c>
      <x:c r="F1207" s="88" t="str">
        <x:f>IF(C1207="","",MIN(D1207+E1207,$Q$16))</x:f>
      </x:c>
      <x:c r="G1207" s="88" t="str">
        <x:f>IF(C1207="","",MIN(MAX(0,D1207+E1207-F1207),SUMIFS(SONDERZAHLUNGEN!$E$9:$E$128,SONDERZAHLUNGEN!$B$9:$B$128,C1207,SONDERZAHLUNGEN!$C$9:$C$128,A1207,SONDERZAHLUNGEN!$H$9:$H$128,"OK",SONDERZAHLUNGEN!$F$9:$F$128,"Ja")))</x:f>
      </x:c>
      <x:c r="H1207" s="88" t="str">
        <x:f>IF(C1207="","",MIN(MAX(0,D1207+E1207-F1207-G1207),MAX(0,IF(MONATSBUDGET!$C$67="",0,MONATSBUDGET!$C$67)-SUM(F1200:F1219)-SUM(H1200:H1206))))</x:f>
      </x:c>
      <x:c r="I1207" s="88" t="str">
        <x:f>IF(C1207="","",MAX(0,ROUND(D1207+E1207-F1207-G1207-H1207,2)))</x:f>
      </x:c>
      <x:c r="J1207" s="88" t="str">
        <x:f>IF(C1207="","",F1207+G1207+H1207)</x:f>
      </x:c>
      <x:c r="K1207" s="88" t="str">
        <x:f>IF(C1207="","",MAX(0,SUMIFS(SONDERZAHLUNGEN!$E$9:$E$128,SONDERZAHLUNGEN!$B$9:$B$128,C1207,SONDERZAHLUNGEN!$C$9:$C$128,A1207,SONDERZAHLUNGEN!$H$9:$H$128,"OK",SONDERZAHLUNGEN!$F$9:$F$128,"Ja")-G1207))</x:f>
      </x:c>
    </x:row>
    <x:row r="1208" ht="19" customHeight="1">
      <x:c r="A1208" s="90" t="n">
        <x:f>MONATSBUDGET!$A$67</x:f>
        <x:v>48030</x:v>
      </x:c>
      <x:c r="B1208" t="n">
        <x:f>9</x:f>
        <x:v>9</x:v>
      </x:c>
      <x:c r="C1208" t="str">
        <x:f>IF($N$17="","",$N$17)</x:f>
      </x:c>
      <x:c r="D1208" s="88" t="str">
        <x:f>IF(C1208="","",I1188)</x:f>
      </x:c>
      <x:c r="E1208" s="88" t="str">
        <x:f>IF(C1208="","",ROUND(D1208*$P$17/12,2))</x:f>
      </x:c>
      <x:c r="F1208" s="88" t="str">
        <x:f>IF(C1208="","",MIN(D1208+E1208,$Q$17))</x:f>
      </x:c>
      <x:c r="G1208" s="88" t="str">
        <x:f>IF(C1208="","",MIN(MAX(0,D1208+E1208-F1208),SUMIFS(SONDERZAHLUNGEN!$E$9:$E$128,SONDERZAHLUNGEN!$B$9:$B$128,C1208,SONDERZAHLUNGEN!$C$9:$C$128,A1208,SONDERZAHLUNGEN!$H$9:$H$128,"OK",SONDERZAHLUNGEN!$F$9:$F$128,"Ja")))</x:f>
      </x:c>
      <x:c r="H1208" s="88" t="str">
        <x:f>IF(C1208="","",MIN(MAX(0,D1208+E1208-F1208-G1208),MAX(0,IF(MONATSBUDGET!$C$67="",0,MONATSBUDGET!$C$67)-SUM(F1200:F1219)-SUM(H1200:H1207))))</x:f>
      </x:c>
      <x:c r="I1208" s="88" t="str">
        <x:f>IF(C1208="","",MAX(0,ROUND(D1208+E1208-F1208-G1208-H1208,2)))</x:f>
      </x:c>
      <x:c r="J1208" s="88" t="str">
        <x:f>IF(C1208="","",F1208+G1208+H1208)</x:f>
      </x:c>
      <x:c r="K1208" s="88" t="str">
        <x:f>IF(C1208="","",MAX(0,SUMIFS(SONDERZAHLUNGEN!$E$9:$E$128,SONDERZAHLUNGEN!$B$9:$B$128,C1208,SONDERZAHLUNGEN!$C$9:$C$128,A1208,SONDERZAHLUNGEN!$H$9:$H$128,"OK",SONDERZAHLUNGEN!$F$9:$F$128,"Ja")-G1208))</x:f>
      </x:c>
    </x:row>
    <x:row r="1209" ht="19" customHeight="1">
      <x:c r="A1209" s="90" t="n">
        <x:f>MONATSBUDGET!$A$67</x:f>
        <x:v>48030</x:v>
      </x:c>
      <x:c r="B1209" t="n">
        <x:f>10</x:f>
        <x:v>10</x:v>
      </x:c>
      <x:c r="C1209" t="str">
        <x:f>IF($N$18="","",$N$18)</x:f>
      </x:c>
      <x:c r="D1209" s="88" t="str">
        <x:f>IF(C1209="","",I1189)</x:f>
      </x:c>
      <x:c r="E1209" s="88" t="str">
        <x:f>IF(C1209="","",ROUND(D1209*$P$18/12,2))</x:f>
      </x:c>
      <x:c r="F1209" s="88" t="str">
        <x:f>IF(C1209="","",MIN(D1209+E1209,$Q$18))</x:f>
      </x:c>
      <x:c r="G1209" s="88" t="str">
        <x:f>IF(C1209="","",MIN(MAX(0,D1209+E1209-F1209),SUMIFS(SONDERZAHLUNGEN!$E$9:$E$128,SONDERZAHLUNGEN!$B$9:$B$128,C1209,SONDERZAHLUNGEN!$C$9:$C$128,A1209,SONDERZAHLUNGEN!$H$9:$H$128,"OK",SONDERZAHLUNGEN!$F$9:$F$128,"Ja")))</x:f>
      </x:c>
      <x:c r="H1209" s="88" t="str">
        <x:f>IF(C1209="","",MIN(MAX(0,D1209+E1209-F1209-G1209),MAX(0,IF(MONATSBUDGET!$C$67="",0,MONATSBUDGET!$C$67)-SUM(F1200:F1219)-SUM(H1200:H1208))))</x:f>
      </x:c>
      <x:c r="I1209" s="88" t="str">
        <x:f>IF(C1209="","",MAX(0,ROUND(D1209+E1209-F1209-G1209-H1209,2)))</x:f>
      </x:c>
      <x:c r="J1209" s="88" t="str">
        <x:f>IF(C1209="","",F1209+G1209+H1209)</x:f>
      </x:c>
      <x:c r="K1209" s="88" t="str">
        <x:f>IF(C1209="","",MAX(0,SUMIFS(SONDERZAHLUNGEN!$E$9:$E$128,SONDERZAHLUNGEN!$B$9:$B$128,C1209,SONDERZAHLUNGEN!$C$9:$C$128,A1209,SONDERZAHLUNGEN!$H$9:$H$128,"OK",SONDERZAHLUNGEN!$F$9:$F$128,"Ja")-G1209))</x:f>
      </x:c>
    </x:row>
    <x:row r="1210" ht="19" customHeight="1">
      <x:c r="A1210" s="90" t="n">
        <x:f>MONATSBUDGET!$A$67</x:f>
        <x:v>48030</x:v>
      </x:c>
      <x:c r="B1210" t="n">
        <x:f>11</x:f>
        <x:v>11</x:v>
      </x:c>
      <x:c r="C1210" t="str">
        <x:f>IF($N$19="","",$N$19)</x:f>
      </x:c>
      <x:c r="D1210" s="88" t="str">
        <x:f>IF(C1210="","",I1190)</x:f>
      </x:c>
      <x:c r="E1210" s="88" t="str">
        <x:f>IF(C1210="","",ROUND(D1210*$P$19/12,2))</x:f>
      </x:c>
      <x:c r="F1210" s="88" t="str">
        <x:f>IF(C1210="","",MIN(D1210+E1210,$Q$19))</x:f>
      </x:c>
      <x:c r="G1210" s="88" t="str">
        <x:f>IF(C1210="","",MIN(MAX(0,D1210+E1210-F1210),SUMIFS(SONDERZAHLUNGEN!$E$9:$E$128,SONDERZAHLUNGEN!$B$9:$B$128,C1210,SONDERZAHLUNGEN!$C$9:$C$128,A1210,SONDERZAHLUNGEN!$H$9:$H$128,"OK",SONDERZAHLUNGEN!$F$9:$F$128,"Ja")))</x:f>
      </x:c>
      <x:c r="H1210" s="88" t="str">
        <x:f>IF(C1210="","",MIN(MAX(0,D1210+E1210-F1210-G1210),MAX(0,IF(MONATSBUDGET!$C$67="",0,MONATSBUDGET!$C$67)-SUM(F1200:F1219)-SUM(H1200:H1209))))</x:f>
      </x:c>
      <x:c r="I1210" s="88" t="str">
        <x:f>IF(C1210="","",MAX(0,ROUND(D1210+E1210-F1210-G1210-H1210,2)))</x:f>
      </x:c>
      <x:c r="J1210" s="88" t="str">
        <x:f>IF(C1210="","",F1210+G1210+H1210)</x:f>
      </x:c>
      <x:c r="K1210" s="88" t="str">
        <x:f>IF(C1210="","",MAX(0,SUMIFS(SONDERZAHLUNGEN!$E$9:$E$128,SONDERZAHLUNGEN!$B$9:$B$128,C1210,SONDERZAHLUNGEN!$C$9:$C$128,A1210,SONDERZAHLUNGEN!$H$9:$H$128,"OK",SONDERZAHLUNGEN!$F$9:$F$128,"Ja")-G1210))</x:f>
      </x:c>
    </x:row>
    <x:row r="1211" ht="19" customHeight="1">
      <x:c r="A1211" s="90" t="n">
        <x:f>MONATSBUDGET!$A$67</x:f>
        <x:v>48030</x:v>
      </x:c>
      <x:c r="B1211" t="n">
        <x:f>12</x:f>
        <x:v>12</x:v>
      </x:c>
      <x:c r="C1211" t="str">
        <x:f>IF($N$20="","",$N$20)</x:f>
      </x:c>
      <x:c r="D1211" s="88" t="str">
        <x:f>IF(C1211="","",I1191)</x:f>
      </x:c>
      <x:c r="E1211" s="88" t="str">
        <x:f>IF(C1211="","",ROUND(D1211*$P$20/12,2))</x:f>
      </x:c>
      <x:c r="F1211" s="88" t="str">
        <x:f>IF(C1211="","",MIN(D1211+E1211,$Q$20))</x:f>
      </x:c>
      <x:c r="G1211" s="88" t="str">
        <x:f>IF(C1211="","",MIN(MAX(0,D1211+E1211-F1211),SUMIFS(SONDERZAHLUNGEN!$E$9:$E$128,SONDERZAHLUNGEN!$B$9:$B$128,C1211,SONDERZAHLUNGEN!$C$9:$C$128,A1211,SONDERZAHLUNGEN!$H$9:$H$128,"OK",SONDERZAHLUNGEN!$F$9:$F$128,"Ja")))</x:f>
      </x:c>
      <x:c r="H1211" s="88" t="str">
        <x:f>IF(C1211="","",MIN(MAX(0,D1211+E1211-F1211-G1211),MAX(0,IF(MONATSBUDGET!$C$67="",0,MONATSBUDGET!$C$67)-SUM(F1200:F1219)-SUM(H1200:H1210))))</x:f>
      </x:c>
      <x:c r="I1211" s="88" t="str">
        <x:f>IF(C1211="","",MAX(0,ROUND(D1211+E1211-F1211-G1211-H1211,2)))</x:f>
      </x:c>
      <x:c r="J1211" s="88" t="str">
        <x:f>IF(C1211="","",F1211+G1211+H1211)</x:f>
      </x:c>
      <x:c r="K1211" s="88" t="str">
        <x:f>IF(C1211="","",MAX(0,SUMIFS(SONDERZAHLUNGEN!$E$9:$E$128,SONDERZAHLUNGEN!$B$9:$B$128,C1211,SONDERZAHLUNGEN!$C$9:$C$128,A1211,SONDERZAHLUNGEN!$H$9:$H$128,"OK",SONDERZAHLUNGEN!$F$9:$F$128,"Ja")-G1211))</x:f>
      </x:c>
    </x:row>
    <x:row r="1212" ht="19" customHeight="1">
      <x:c r="A1212" s="90" t="n">
        <x:f>MONATSBUDGET!$A$67</x:f>
        <x:v>48030</x:v>
      </x:c>
      <x:c r="B1212" t="n">
        <x:f>13</x:f>
        <x:v>13</x:v>
      </x:c>
      <x:c r="C1212" t="str">
        <x:f>IF($N$21="","",$N$21)</x:f>
      </x:c>
      <x:c r="D1212" s="88" t="str">
        <x:f>IF(C1212="","",I1192)</x:f>
      </x:c>
      <x:c r="E1212" s="88" t="str">
        <x:f>IF(C1212="","",ROUND(D1212*$P$21/12,2))</x:f>
      </x:c>
      <x:c r="F1212" s="88" t="str">
        <x:f>IF(C1212="","",MIN(D1212+E1212,$Q$21))</x:f>
      </x:c>
      <x:c r="G1212" s="88" t="str">
        <x:f>IF(C1212="","",MIN(MAX(0,D1212+E1212-F1212),SUMIFS(SONDERZAHLUNGEN!$E$9:$E$128,SONDERZAHLUNGEN!$B$9:$B$128,C1212,SONDERZAHLUNGEN!$C$9:$C$128,A1212,SONDERZAHLUNGEN!$H$9:$H$128,"OK",SONDERZAHLUNGEN!$F$9:$F$128,"Ja")))</x:f>
      </x:c>
      <x:c r="H1212" s="88" t="str">
        <x:f>IF(C1212="","",MIN(MAX(0,D1212+E1212-F1212-G1212),MAX(0,IF(MONATSBUDGET!$C$67="",0,MONATSBUDGET!$C$67)-SUM(F1200:F1219)-SUM(H1200:H1211))))</x:f>
      </x:c>
      <x:c r="I1212" s="88" t="str">
        <x:f>IF(C1212="","",MAX(0,ROUND(D1212+E1212-F1212-G1212-H1212,2)))</x:f>
      </x:c>
      <x:c r="J1212" s="88" t="str">
        <x:f>IF(C1212="","",F1212+G1212+H1212)</x:f>
      </x:c>
      <x:c r="K1212" s="88" t="str">
        <x:f>IF(C1212="","",MAX(0,SUMIFS(SONDERZAHLUNGEN!$E$9:$E$128,SONDERZAHLUNGEN!$B$9:$B$128,C1212,SONDERZAHLUNGEN!$C$9:$C$128,A1212,SONDERZAHLUNGEN!$H$9:$H$128,"OK",SONDERZAHLUNGEN!$F$9:$F$128,"Ja")-G1212))</x:f>
      </x:c>
    </x:row>
    <x:row r="1213" ht="19" customHeight="1">
      <x:c r="A1213" s="90" t="n">
        <x:f>MONATSBUDGET!$A$67</x:f>
        <x:v>48030</x:v>
      </x:c>
      <x:c r="B1213" t="n">
        <x:f>14</x:f>
        <x:v>14</x:v>
      </x:c>
      <x:c r="C1213" t="str">
        <x:f>IF($N$22="","",$N$22)</x:f>
      </x:c>
      <x:c r="D1213" s="88" t="str">
        <x:f>IF(C1213="","",I1193)</x:f>
      </x:c>
      <x:c r="E1213" s="88" t="str">
        <x:f>IF(C1213="","",ROUND(D1213*$P$22/12,2))</x:f>
      </x:c>
      <x:c r="F1213" s="88" t="str">
        <x:f>IF(C1213="","",MIN(D1213+E1213,$Q$22))</x:f>
      </x:c>
      <x:c r="G1213" s="88" t="str">
        <x:f>IF(C1213="","",MIN(MAX(0,D1213+E1213-F1213),SUMIFS(SONDERZAHLUNGEN!$E$9:$E$128,SONDERZAHLUNGEN!$B$9:$B$128,C1213,SONDERZAHLUNGEN!$C$9:$C$128,A1213,SONDERZAHLUNGEN!$H$9:$H$128,"OK",SONDERZAHLUNGEN!$F$9:$F$128,"Ja")))</x:f>
      </x:c>
      <x:c r="H1213" s="88" t="str">
        <x:f>IF(C1213="","",MIN(MAX(0,D1213+E1213-F1213-G1213),MAX(0,IF(MONATSBUDGET!$C$67="",0,MONATSBUDGET!$C$67)-SUM(F1200:F1219)-SUM(H1200:H1212))))</x:f>
      </x:c>
      <x:c r="I1213" s="88" t="str">
        <x:f>IF(C1213="","",MAX(0,ROUND(D1213+E1213-F1213-G1213-H1213,2)))</x:f>
      </x:c>
      <x:c r="J1213" s="88" t="str">
        <x:f>IF(C1213="","",F1213+G1213+H1213)</x:f>
      </x:c>
      <x:c r="K1213" s="88" t="str">
        <x:f>IF(C1213="","",MAX(0,SUMIFS(SONDERZAHLUNGEN!$E$9:$E$128,SONDERZAHLUNGEN!$B$9:$B$128,C1213,SONDERZAHLUNGEN!$C$9:$C$128,A1213,SONDERZAHLUNGEN!$H$9:$H$128,"OK",SONDERZAHLUNGEN!$F$9:$F$128,"Ja")-G1213))</x:f>
      </x:c>
    </x:row>
    <x:row r="1214" ht="19" customHeight="1">
      <x:c r="A1214" s="90" t="n">
        <x:f>MONATSBUDGET!$A$67</x:f>
        <x:v>48030</x:v>
      </x:c>
      <x:c r="B1214" t="n">
        <x:f>15</x:f>
        <x:v>15</x:v>
      </x:c>
      <x:c r="C1214" t="str">
        <x:f>IF($N$23="","",$N$23)</x:f>
      </x:c>
      <x:c r="D1214" s="88" t="str">
        <x:f>IF(C1214="","",I1194)</x:f>
      </x:c>
      <x:c r="E1214" s="88" t="str">
        <x:f>IF(C1214="","",ROUND(D1214*$P$23/12,2))</x:f>
      </x:c>
      <x:c r="F1214" s="88" t="str">
        <x:f>IF(C1214="","",MIN(D1214+E1214,$Q$23))</x:f>
      </x:c>
      <x:c r="G1214" s="88" t="str">
        <x:f>IF(C1214="","",MIN(MAX(0,D1214+E1214-F1214),SUMIFS(SONDERZAHLUNGEN!$E$9:$E$128,SONDERZAHLUNGEN!$B$9:$B$128,C1214,SONDERZAHLUNGEN!$C$9:$C$128,A1214,SONDERZAHLUNGEN!$H$9:$H$128,"OK",SONDERZAHLUNGEN!$F$9:$F$128,"Ja")))</x:f>
      </x:c>
      <x:c r="H1214" s="88" t="str">
        <x:f>IF(C1214="","",MIN(MAX(0,D1214+E1214-F1214-G1214),MAX(0,IF(MONATSBUDGET!$C$67="",0,MONATSBUDGET!$C$67)-SUM(F1200:F1219)-SUM(H1200:H1213))))</x:f>
      </x:c>
      <x:c r="I1214" s="88" t="str">
        <x:f>IF(C1214="","",MAX(0,ROUND(D1214+E1214-F1214-G1214-H1214,2)))</x:f>
      </x:c>
      <x:c r="J1214" s="88" t="str">
        <x:f>IF(C1214="","",F1214+G1214+H1214)</x:f>
      </x:c>
      <x:c r="K1214" s="88" t="str">
        <x:f>IF(C1214="","",MAX(0,SUMIFS(SONDERZAHLUNGEN!$E$9:$E$128,SONDERZAHLUNGEN!$B$9:$B$128,C1214,SONDERZAHLUNGEN!$C$9:$C$128,A1214,SONDERZAHLUNGEN!$H$9:$H$128,"OK",SONDERZAHLUNGEN!$F$9:$F$128,"Ja")-G1214))</x:f>
      </x:c>
    </x:row>
    <x:row r="1215" ht="19" customHeight="1">
      <x:c r="A1215" s="90" t="n">
        <x:f>MONATSBUDGET!$A$67</x:f>
        <x:v>48030</x:v>
      </x:c>
      <x:c r="B1215" t="n">
        <x:f>16</x:f>
        <x:v>16</x:v>
      </x:c>
      <x:c r="C1215" t="str">
        <x:f>IF($N$24="","",$N$24)</x:f>
      </x:c>
      <x:c r="D1215" s="88" t="str">
        <x:f>IF(C1215="","",I1195)</x:f>
      </x:c>
      <x:c r="E1215" s="88" t="str">
        <x:f>IF(C1215="","",ROUND(D1215*$P$24/12,2))</x:f>
      </x:c>
      <x:c r="F1215" s="88" t="str">
        <x:f>IF(C1215="","",MIN(D1215+E1215,$Q$24))</x:f>
      </x:c>
      <x:c r="G1215" s="88" t="str">
        <x:f>IF(C1215="","",MIN(MAX(0,D1215+E1215-F1215),SUMIFS(SONDERZAHLUNGEN!$E$9:$E$128,SONDERZAHLUNGEN!$B$9:$B$128,C1215,SONDERZAHLUNGEN!$C$9:$C$128,A1215,SONDERZAHLUNGEN!$H$9:$H$128,"OK",SONDERZAHLUNGEN!$F$9:$F$128,"Ja")))</x:f>
      </x:c>
      <x:c r="H1215" s="88" t="str">
        <x:f>IF(C1215="","",MIN(MAX(0,D1215+E1215-F1215-G1215),MAX(0,IF(MONATSBUDGET!$C$67="",0,MONATSBUDGET!$C$67)-SUM(F1200:F1219)-SUM(H1200:H1214))))</x:f>
      </x:c>
      <x:c r="I1215" s="88" t="str">
        <x:f>IF(C1215="","",MAX(0,ROUND(D1215+E1215-F1215-G1215-H1215,2)))</x:f>
      </x:c>
      <x:c r="J1215" s="88" t="str">
        <x:f>IF(C1215="","",F1215+G1215+H1215)</x:f>
      </x:c>
      <x:c r="K1215" s="88" t="str">
        <x:f>IF(C1215="","",MAX(0,SUMIFS(SONDERZAHLUNGEN!$E$9:$E$128,SONDERZAHLUNGEN!$B$9:$B$128,C1215,SONDERZAHLUNGEN!$C$9:$C$128,A1215,SONDERZAHLUNGEN!$H$9:$H$128,"OK",SONDERZAHLUNGEN!$F$9:$F$128,"Ja")-G1215))</x:f>
      </x:c>
    </x:row>
    <x:row r="1216" ht="19" customHeight="1">
      <x:c r="A1216" s="90" t="n">
        <x:f>MONATSBUDGET!$A$67</x:f>
        <x:v>48030</x:v>
      </x:c>
      <x:c r="B1216" t="n">
        <x:f>17</x:f>
        <x:v>17</x:v>
      </x:c>
      <x:c r="C1216" t="str">
        <x:f>IF($N$25="","",$N$25)</x:f>
      </x:c>
      <x:c r="D1216" s="88" t="str">
        <x:f>IF(C1216="","",I1196)</x:f>
      </x:c>
      <x:c r="E1216" s="88" t="str">
        <x:f>IF(C1216="","",ROUND(D1216*$P$25/12,2))</x:f>
      </x:c>
      <x:c r="F1216" s="88" t="str">
        <x:f>IF(C1216="","",MIN(D1216+E1216,$Q$25))</x:f>
      </x:c>
      <x:c r="G1216" s="88" t="str">
        <x:f>IF(C1216="","",MIN(MAX(0,D1216+E1216-F1216),SUMIFS(SONDERZAHLUNGEN!$E$9:$E$128,SONDERZAHLUNGEN!$B$9:$B$128,C1216,SONDERZAHLUNGEN!$C$9:$C$128,A1216,SONDERZAHLUNGEN!$H$9:$H$128,"OK",SONDERZAHLUNGEN!$F$9:$F$128,"Ja")))</x:f>
      </x:c>
      <x:c r="H1216" s="88" t="str">
        <x:f>IF(C1216="","",MIN(MAX(0,D1216+E1216-F1216-G1216),MAX(0,IF(MONATSBUDGET!$C$67="",0,MONATSBUDGET!$C$67)-SUM(F1200:F1219)-SUM(H1200:H1215))))</x:f>
      </x:c>
      <x:c r="I1216" s="88" t="str">
        <x:f>IF(C1216="","",MAX(0,ROUND(D1216+E1216-F1216-G1216-H1216,2)))</x:f>
      </x:c>
      <x:c r="J1216" s="88" t="str">
        <x:f>IF(C1216="","",F1216+G1216+H1216)</x:f>
      </x:c>
      <x:c r="K1216" s="88" t="str">
        <x:f>IF(C1216="","",MAX(0,SUMIFS(SONDERZAHLUNGEN!$E$9:$E$128,SONDERZAHLUNGEN!$B$9:$B$128,C1216,SONDERZAHLUNGEN!$C$9:$C$128,A1216,SONDERZAHLUNGEN!$H$9:$H$128,"OK",SONDERZAHLUNGEN!$F$9:$F$128,"Ja")-G1216))</x:f>
      </x:c>
    </x:row>
    <x:row r="1217" ht="19" customHeight="1">
      <x:c r="A1217" s="90" t="n">
        <x:f>MONATSBUDGET!$A$67</x:f>
        <x:v>48030</x:v>
      </x:c>
      <x:c r="B1217" t="n">
        <x:f>18</x:f>
        <x:v>18</x:v>
      </x:c>
      <x:c r="C1217" t="str">
        <x:f>IF($N$26="","",$N$26)</x:f>
      </x:c>
      <x:c r="D1217" s="88" t="str">
        <x:f>IF(C1217="","",I1197)</x:f>
      </x:c>
      <x:c r="E1217" s="88" t="str">
        <x:f>IF(C1217="","",ROUND(D1217*$P$26/12,2))</x:f>
      </x:c>
      <x:c r="F1217" s="88" t="str">
        <x:f>IF(C1217="","",MIN(D1217+E1217,$Q$26))</x:f>
      </x:c>
      <x:c r="G1217" s="88" t="str">
        <x:f>IF(C1217="","",MIN(MAX(0,D1217+E1217-F1217),SUMIFS(SONDERZAHLUNGEN!$E$9:$E$128,SONDERZAHLUNGEN!$B$9:$B$128,C1217,SONDERZAHLUNGEN!$C$9:$C$128,A1217,SONDERZAHLUNGEN!$H$9:$H$128,"OK",SONDERZAHLUNGEN!$F$9:$F$128,"Ja")))</x:f>
      </x:c>
      <x:c r="H1217" s="88" t="str">
        <x:f>IF(C1217="","",MIN(MAX(0,D1217+E1217-F1217-G1217),MAX(0,IF(MONATSBUDGET!$C$67="",0,MONATSBUDGET!$C$67)-SUM(F1200:F1219)-SUM(H1200:H1216))))</x:f>
      </x:c>
      <x:c r="I1217" s="88" t="str">
        <x:f>IF(C1217="","",MAX(0,ROUND(D1217+E1217-F1217-G1217-H1217,2)))</x:f>
      </x:c>
      <x:c r="J1217" s="88" t="str">
        <x:f>IF(C1217="","",F1217+G1217+H1217)</x:f>
      </x:c>
      <x:c r="K1217" s="88" t="str">
        <x:f>IF(C1217="","",MAX(0,SUMIFS(SONDERZAHLUNGEN!$E$9:$E$128,SONDERZAHLUNGEN!$B$9:$B$128,C1217,SONDERZAHLUNGEN!$C$9:$C$128,A1217,SONDERZAHLUNGEN!$H$9:$H$128,"OK",SONDERZAHLUNGEN!$F$9:$F$128,"Ja")-G1217))</x:f>
      </x:c>
    </x:row>
    <x:row r="1218" ht="19" customHeight="1">
      <x:c r="A1218" s="90" t="n">
        <x:f>MONATSBUDGET!$A$67</x:f>
        <x:v>48030</x:v>
      </x:c>
      <x:c r="B1218" t="n">
        <x:f>19</x:f>
        <x:v>19</x:v>
      </x:c>
      <x:c r="C1218" t="str">
        <x:f>IF($N$27="","",$N$27)</x:f>
      </x:c>
      <x:c r="D1218" s="88" t="str">
        <x:f>IF(C1218="","",I1198)</x:f>
      </x:c>
      <x:c r="E1218" s="88" t="str">
        <x:f>IF(C1218="","",ROUND(D1218*$P$27/12,2))</x:f>
      </x:c>
      <x:c r="F1218" s="88" t="str">
        <x:f>IF(C1218="","",MIN(D1218+E1218,$Q$27))</x:f>
      </x:c>
      <x:c r="G1218" s="88" t="str">
        <x:f>IF(C1218="","",MIN(MAX(0,D1218+E1218-F1218),SUMIFS(SONDERZAHLUNGEN!$E$9:$E$128,SONDERZAHLUNGEN!$B$9:$B$128,C1218,SONDERZAHLUNGEN!$C$9:$C$128,A1218,SONDERZAHLUNGEN!$H$9:$H$128,"OK",SONDERZAHLUNGEN!$F$9:$F$128,"Ja")))</x:f>
      </x:c>
      <x:c r="H1218" s="88" t="str">
        <x:f>IF(C1218="","",MIN(MAX(0,D1218+E1218-F1218-G1218),MAX(0,IF(MONATSBUDGET!$C$67="",0,MONATSBUDGET!$C$67)-SUM(F1200:F1219)-SUM(H1200:H1217))))</x:f>
      </x:c>
      <x:c r="I1218" s="88" t="str">
        <x:f>IF(C1218="","",MAX(0,ROUND(D1218+E1218-F1218-G1218-H1218,2)))</x:f>
      </x:c>
      <x:c r="J1218" s="88" t="str">
        <x:f>IF(C1218="","",F1218+G1218+H1218)</x:f>
      </x:c>
      <x:c r="K1218" s="88" t="str">
        <x:f>IF(C1218="","",MAX(0,SUMIFS(SONDERZAHLUNGEN!$E$9:$E$128,SONDERZAHLUNGEN!$B$9:$B$128,C1218,SONDERZAHLUNGEN!$C$9:$C$128,A1218,SONDERZAHLUNGEN!$H$9:$H$128,"OK",SONDERZAHLUNGEN!$F$9:$F$128,"Ja")-G1218))</x:f>
      </x:c>
    </x:row>
    <x:row r="1219" ht="19" customHeight="1">
      <x:c r="A1219" s="90" t="n">
        <x:f>MONATSBUDGET!$A$67</x:f>
        <x:v>48030</x:v>
      </x:c>
      <x:c r="B1219" t="n">
        <x:f>20</x:f>
        <x:v>20</x:v>
      </x:c>
      <x:c r="C1219" t="str">
        <x:f>IF($N$28="","",$N$28)</x:f>
      </x:c>
      <x:c r="D1219" s="88" t="str">
        <x:f>IF(C1219="","",I1199)</x:f>
      </x:c>
      <x:c r="E1219" s="88" t="str">
        <x:f>IF(C1219="","",ROUND(D1219*$P$28/12,2))</x:f>
      </x:c>
      <x:c r="F1219" s="88" t="str">
        <x:f>IF(C1219="","",MIN(D1219+E1219,$Q$28))</x:f>
      </x:c>
      <x:c r="G1219" s="88" t="str">
        <x:f>IF(C1219="","",MIN(MAX(0,D1219+E1219-F1219),SUMIFS(SONDERZAHLUNGEN!$E$9:$E$128,SONDERZAHLUNGEN!$B$9:$B$128,C1219,SONDERZAHLUNGEN!$C$9:$C$128,A1219,SONDERZAHLUNGEN!$H$9:$H$128,"OK",SONDERZAHLUNGEN!$F$9:$F$128,"Ja")))</x:f>
      </x:c>
      <x:c r="H1219" s="88" t="str">
        <x:f>IF(C1219="","",MIN(MAX(0,D1219+E1219-F1219-G1219),MAX(0,IF(MONATSBUDGET!$C$67="",0,MONATSBUDGET!$C$67)-SUM(F1200:F1219)-SUM(H1200:H1218))))</x:f>
      </x:c>
      <x:c r="I1219" s="88" t="str">
        <x:f>IF(C1219="","",MAX(0,ROUND(D1219+E1219-F1219-G1219-H1219,2)))</x:f>
      </x:c>
      <x:c r="J1219" s="88" t="str">
        <x:f>IF(C1219="","",F1219+G1219+H1219)</x:f>
      </x:c>
      <x:c r="K1219" s="88" t="str">
        <x:f>IF(C1219="","",MAX(0,SUMIFS(SONDERZAHLUNGEN!$E$9:$E$128,SONDERZAHLUNGEN!$B$9:$B$128,C1219,SONDERZAHLUNGEN!$C$9:$C$128,A1219,SONDERZAHLUNGEN!$H$9:$H$128,"OK",SONDERZAHLUNGEN!$F$9:$F$128,"Ja")-G1219))</x:f>
      </x:c>
    </x:row>
    <x:row r="1220" ht="19" customHeight="1">
      <x:c r="A1220" s="90" t="n">
        <x:f>MONATSBUDGET!$A$68</x:f>
        <x:v>48061</x:v>
      </x:c>
      <x:c r="B1220" t="n">
        <x:f>1</x:f>
        <x:v>1</x:v>
      </x:c>
      <x:c r="C1220" t="str">
        <x:f>IF($N$9="","",$N$9)</x:f>
      </x:c>
      <x:c r="D1220" s="88" t="str">
        <x:f>IF(C1220="","",I1200)</x:f>
      </x:c>
      <x:c r="E1220" s="88" t="str">
        <x:f>IF(C1220="","",ROUND(D1220*$P$9/12,2))</x:f>
      </x:c>
      <x:c r="F1220" s="88" t="str">
        <x:f>IF(C1220="","",MIN(D1220+E1220,$Q$9))</x:f>
      </x:c>
      <x:c r="G1220" s="88" t="str">
        <x:f>IF(C1220="","",MIN(MAX(0,D1220+E1220-F1220),SUMIFS(SONDERZAHLUNGEN!$E$9:$E$128,SONDERZAHLUNGEN!$B$9:$B$128,C1220,SONDERZAHLUNGEN!$C$9:$C$128,A1220,SONDERZAHLUNGEN!$H$9:$H$128,"OK",SONDERZAHLUNGEN!$F$9:$F$128,"Ja")))</x:f>
      </x:c>
      <x:c r="H1220" s="88" t="str">
        <x:f>IF(C1220="","",MIN(MAX(0,D1220+E1220-F1220-G1220),MAX(0,IF(MONATSBUDGET!$C$68="",0,MONATSBUDGET!$C$68)-SUM(F1220:F1239)-0)))</x:f>
      </x:c>
      <x:c r="I1220" s="88" t="str">
        <x:f>IF(C1220="","",MAX(0,ROUND(D1220+E1220-F1220-G1220-H1220,2)))</x:f>
      </x:c>
      <x:c r="J1220" s="88" t="str">
        <x:f>IF(C1220="","",F1220+G1220+H1220)</x:f>
      </x:c>
      <x:c r="K1220" s="88" t="str">
        <x:f>IF(C1220="","",MAX(0,SUMIFS(SONDERZAHLUNGEN!$E$9:$E$128,SONDERZAHLUNGEN!$B$9:$B$128,C1220,SONDERZAHLUNGEN!$C$9:$C$128,A1220,SONDERZAHLUNGEN!$H$9:$H$128,"OK",SONDERZAHLUNGEN!$F$9:$F$128,"Ja")-G1220))</x:f>
      </x:c>
    </x:row>
    <x:row r="1221" ht="19" customHeight="1">
      <x:c r="A1221" s="90" t="n">
        <x:f>MONATSBUDGET!$A$68</x:f>
        <x:v>48061</x:v>
      </x:c>
      <x:c r="B1221" t="n">
        <x:f>2</x:f>
        <x:v>2</x:v>
      </x:c>
      <x:c r="C1221" t="str">
        <x:f>IF($N$10="","",$N$10)</x:f>
      </x:c>
      <x:c r="D1221" s="88" t="str">
        <x:f>IF(C1221="","",I1201)</x:f>
      </x:c>
      <x:c r="E1221" s="88" t="str">
        <x:f>IF(C1221="","",ROUND(D1221*$P$10/12,2))</x:f>
      </x:c>
      <x:c r="F1221" s="88" t="str">
        <x:f>IF(C1221="","",MIN(D1221+E1221,$Q$10))</x:f>
      </x:c>
      <x:c r="G1221" s="88" t="str">
        <x:f>IF(C1221="","",MIN(MAX(0,D1221+E1221-F1221),SUMIFS(SONDERZAHLUNGEN!$E$9:$E$128,SONDERZAHLUNGEN!$B$9:$B$128,C1221,SONDERZAHLUNGEN!$C$9:$C$128,A1221,SONDERZAHLUNGEN!$H$9:$H$128,"OK",SONDERZAHLUNGEN!$F$9:$F$128,"Ja")))</x:f>
      </x:c>
      <x:c r="H1221" s="88" t="str">
        <x:f>IF(C1221="","",MIN(MAX(0,D1221+E1221-F1221-G1221),MAX(0,IF(MONATSBUDGET!$C$68="",0,MONATSBUDGET!$C$68)-SUM(F1220:F1239)-SUM(H1220:H1220))))</x:f>
      </x:c>
      <x:c r="I1221" s="88" t="str">
        <x:f>IF(C1221="","",MAX(0,ROUND(D1221+E1221-F1221-G1221-H1221,2)))</x:f>
      </x:c>
      <x:c r="J1221" s="88" t="str">
        <x:f>IF(C1221="","",F1221+G1221+H1221)</x:f>
      </x:c>
      <x:c r="K1221" s="88" t="str">
        <x:f>IF(C1221="","",MAX(0,SUMIFS(SONDERZAHLUNGEN!$E$9:$E$128,SONDERZAHLUNGEN!$B$9:$B$128,C1221,SONDERZAHLUNGEN!$C$9:$C$128,A1221,SONDERZAHLUNGEN!$H$9:$H$128,"OK",SONDERZAHLUNGEN!$F$9:$F$128,"Ja")-G1221))</x:f>
      </x:c>
    </x:row>
    <x:row r="1222" ht="19" customHeight="1">
      <x:c r="A1222" s="90" t="n">
        <x:f>MONATSBUDGET!$A$68</x:f>
        <x:v>48061</x:v>
      </x:c>
      <x:c r="B1222" t="n">
        <x:f>3</x:f>
        <x:v>3</x:v>
      </x:c>
      <x:c r="C1222" t="str">
        <x:f>IF($N$11="","",$N$11)</x:f>
      </x:c>
      <x:c r="D1222" s="88" t="str">
        <x:f>IF(C1222="","",I1202)</x:f>
      </x:c>
      <x:c r="E1222" s="88" t="str">
        <x:f>IF(C1222="","",ROUND(D1222*$P$11/12,2))</x:f>
      </x:c>
      <x:c r="F1222" s="88" t="str">
        <x:f>IF(C1222="","",MIN(D1222+E1222,$Q$11))</x:f>
      </x:c>
      <x:c r="G1222" s="88" t="str">
        <x:f>IF(C1222="","",MIN(MAX(0,D1222+E1222-F1222),SUMIFS(SONDERZAHLUNGEN!$E$9:$E$128,SONDERZAHLUNGEN!$B$9:$B$128,C1222,SONDERZAHLUNGEN!$C$9:$C$128,A1222,SONDERZAHLUNGEN!$H$9:$H$128,"OK",SONDERZAHLUNGEN!$F$9:$F$128,"Ja")))</x:f>
      </x:c>
      <x:c r="H1222" s="88" t="str">
        <x:f>IF(C1222="","",MIN(MAX(0,D1222+E1222-F1222-G1222),MAX(0,IF(MONATSBUDGET!$C$68="",0,MONATSBUDGET!$C$68)-SUM(F1220:F1239)-SUM(H1220:H1221))))</x:f>
      </x:c>
      <x:c r="I1222" s="88" t="str">
        <x:f>IF(C1222="","",MAX(0,ROUND(D1222+E1222-F1222-G1222-H1222,2)))</x:f>
      </x:c>
      <x:c r="J1222" s="88" t="str">
        <x:f>IF(C1222="","",F1222+G1222+H1222)</x:f>
      </x:c>
      <x:c r="K1222" s="88" t="str">
        <x:f>IF(C1222="","",MAX(0,SUMIFS(SONDERZAHLUNGEN!$E$9:$E$128,SONDERZAHLUNGEN!$B$9:$B$128,C1222,SONDERZAHLUNGEN!$C$9:$C$128,A1222,SONDERZAHLUNGEN!$H$9:$H$128,"OK",SONDERZAHLUNGEN!$F$9:$F$128,"Ja")-G1222))</x:f>
      </x:c>
    </x:row>
    <x:row r="1223" ht="19" customHeight="1">
      <x:c r="A1223" s="90" t="n">
        <x:f>MONATSBUDGET!$A$68</x:f>
        <x:v>48061</x:v>
      </x:c>
      <x:c r="B1223" t="n">
        <x:f>4</x:f>
        <x:v>4</x:v>
      </x:c>
      <x:c r="C1223" t="str">
        <x:f>IF($N$12="","",$N$12)</x:f>
      </x:c>
      <x:c r="D1223" s="88" t="str">
        <x:f>IF(C1223="","",I1203)</x:f>
      </x:c>
      <x:c r="E1223" s="88" t="str">
        <x:f>IF(C1223="","",ROUND(D1223*$P$12/12,2))</x:f>
      </x:c>
      <x:c r="F1223" s="88" t="str">
        <x:f>IF(C1223="","",MIN(D1223+E1223,$Q$12))</x:f>
      </x:c>
      <x:c r="G1223" s="88" t="str">
        <x:f>IF(C1223="","",MIN(MAX(0,D1223+E1223-F1223),SUMIFS(SONDERZAHLUNGEN!$E$9:$E$128,SONDERZAHLUNGEN!$B$9:$B$128,C1223,SONDERZAHLUNGEN!$C$9:$C$128,A1223,SONDERZAHLUNGEN!$H$9:$H$128,"OK",SONDERZAHLUNGEN!$F$9:$F$128,"Ja")))</x:f>
      </x:c>
      <x:c r="H1223" s="88" t="str">
        <x:f>IF(C1223="","",MIN(MAX(0,D1223+E1223-F1223-G1223),MAX(0,IF(MONATSBUDGET!$C$68="",0,MONATSBUDGET!$C$68)-SUM(F1220:F1239)-SUM(H1220:H1222))))</x:f>
      </x:c>
      <x:c r="I1223" s="88" t="str">
        <x:f>IF(C1223="","",MAX(0,ROUND(D1223+E1223-F1223-G1223-H1223,2)))</x:f>
      </x:c>
      <x:c r="J1223" s="88" t="str">
        <x:f>IF(C1223="","",F1223+G1223+H1223)</x:f>
      </x:c>
      <x:c r="K1223" s="88" t="str">
        <x:f>IF(C1223="","",MAX(0,SUMIFS(SONDERZAHLUNGEN!$E$9:$E$128,SONDERZAHLUNGEN!$B$9:$B$128,C1223,SONDERZAHLUNGEN!$C$9:$C$128,A1223,SONDERZAHLUNGEN!$H$9:$H$128,"OK",SONDERZAHLUNGEN!$F$9:$F$128,"Ja")-G1223))</x:f>
      </x:c>
    </x:row>
    <x:row r="1224" ht="19" customHeight="1">
      <x:c r="A1224" s="90" t="n">
        <x:f>MONATSBUDGET!$A$68</x:f>
        <x:v>48061</x:v>
      </x:c>
      <x:c r="B1224" t="n">
        <x:f>5</x:f>
        <x:v>5</x:v>
      </x:c>
      <x:c r="C1224" t="str">
        <x:f>IF($N$13="","",$N$13)</x:f>
      </x:c>
      <x:c r="D1224" s="88" t="str">
        <x:f>IF(C1224="","",I1204)</x:f>
      </x:c>
      <x:c r="E1224" s="88" t="str">
        <x:f>IF(C1224="","",ROUND(D1224*$P$13/12,2))</x:f>
      </x:c>
      <x:c r="F1224" s="88" t="str">
        <x:f>IF(C1224="","",MIN(D1224+E1224,$Q$13))</x:f>
      </x:c>
      <x:c r="G1224" s="88" t="str">
        <x:f>IF(C1224="","",MIN(MAX(0,D1224+E1224-F1224),SUMIFS(SONDERZAHLUNGEN!$E$9:$E$128,SONDERZAHLUNGEN!$B$9:$B$128,C1224,SONDERZAHLUNGEN!$C$9:$C$128,A1224,SONDERZAHLUNGEN!$H$9:$H$128,"OK",SONDERZAHLUNGEN!$F$9:$F$128,"Ja")))</x:f>
      </x:c>
      <x:c r="H1224" s="88" t="str">
        <x:f>IF(C1224="","",MIN(MAX(0,D1224+E1224-F1224-G1224),MAX(0,IF(MONATSBUDGET!$C$68="",0,MONATSBUDGET!$C$68)-SUM(F1220:F1239)-SUM(H1220:H1223))))</x:f>
      </x:c>
      <x:c r="I1224" s="88" t="str">
        <x:f>IF(C1224="","",MAX(0,ROUND(D1224+E1224-F1224-G1224-H1224,2)))</x:f>
      </x:c>
      <x:c r="J1224" s="88" t="str">
        <x:f>IF(C1224="","",F1224+G1224+H1224)</x:f>
      </x:c>
      <x:c r="K1224" s="88" t="str">
        <x:f>IF(C1224="","",MAX(0,SUMIFS(SONDERZAHLUNGEN!$E$9:$E$128,SONDERZAHLUNGEN!$B$9:$B$128,C1224,SONDERZAHLUNGEN!$C$9:$C$128,A1224,SONDERZAHLUNGEN!$H$9:$H$128,"OK",SONDERZAHLUNGEN!$F$9:$F$128,"Ja")-G1224))</x:f>
      </x:c>
    </x:row>
    <x:row r="1225" ht="19" customHeight="1">
      <x:c r="A1225" s="90" t="n">
        <x:f>MONATSBUDGET!$A$68</x:f>
        <x:v>48061</x:v>
      </x:c>
      <x:c r="B1225" t="n">
        <x:f>6</x:f>
        <x:v>6</x:v>
      </x:c>
      <x:c r="C1225" t="str">
        <x:f>IF($N$14="","",$N$14)</x:f>
      </x:c>
      <x:c r="D1225" s="88" t="str">
        <x:f>IF(C1225="","",I1205)</x:f>
      </x:c>
      <x:c r="E1225" s="88" t="str">
        <x:f>IF(C1225="","",ROUND(D1225*$P$14/12,2))</x:f>
      </x:c>
      <x:c r="F1225" s="88" t="str">
        <x:f>IF(C1225="","",MIN(D1225+E1225,$Q$14))</x:f>
      </x:c>
      <x:c r="G1225" s="88" t="str">
        <x:f>IF(C1225="","",MIN(MAX(0,D1225+E1225-F1225),SUMIFS(SONDERZAHLUNGEN!$E$9:$E$128,SONDERZAHLUNGEN!$B$9:$B$128,C1225,SONDERZAHLUNGEN!$C$9:$C$128,A1225,SONDERZAHLUNGEN!$H$9:$H$128,"OK",SONDERZAHLUNGEN!$F$9:$F$128,"Ja")))</x:f>
      </x:c>
      <x:c r="H1225" s="88" t="str">
        <x:f>IF(C1225="","",MIN(MAX(0,D1225+E1225-F1225-G1225),MAX(0,IF(MONATSBUDGET!$C$68="",0,MONATSBUDGET!$C$68)-SUM(F1220:F1239)-SUM(H1220:H1224))))</x:f>
      </x:c>
      <x:c r="I1225" s="88" t="str">
        <x:f>IF(C1225="","",MAX(0,ROUND(D1225+E1225-F1225-G1225-H1225,2)))</x:f>
      </x:c>
      <x:c r="J1225" s="88" t="str">
        <x:f>IF(C1225="","",F1225+G1225+H1225)</x:f>
      </x:c>
      <x:c r="K1225" s="88" t="str">
        <x:f>IF(C1225="","",MAX(0,SUMIFS(SONDERZAHLUNGEN!$E$9:$E$128,SONDERZAHLUNGEN!$B$9:$B$128,C1225,SONDERZAHLUNGEN!$C$9:$C$128,A1225,SONDERZAHLUNGEN!$H$9:$H$128,"OK",SONDERZAHLUNGEN!$F$9:$F$128,"Ja")-G1225))</x:f>
      </x:c>
    </x:row>
    <x:row r="1226" ht="19" customHeight="1">
      <x:c r="A1226" s="90" t="n">
        <x:f>MONATSBUDGET!$A$68</x:f>
        <x:v>48061</x:v>
      </x:c>
      <x:c r="B1226" t="n">
        <x:f>7</x:f>
        <x:v>7</x:v>
      </x:c>
      <x:c r="C1226" t="str">
        <x:f>IF($N$15="","",$N$15)</x:f>
      </x:c>
      <x:c r="D1226" s="88" t="str">
        <x:f>IF(C1226="","",I1206)</x:f>
      </x:c>
      <x:c r="E1226" s="88" t="str">
        <x:f>IF(C1226="","",ROUND(D1226*$P$15/12,2))</x:f>
      </x:c>
      <x:c r="F1226" s="88" t="str">
        <x:f>IF(C1226="","",MIN(D1226+E1226,$Q$15))</x:f>
      </x:c>
      <x:c r="G1226" s="88" t="str">
        <x:f>IF(C1226="","",MIN(MAX(0,D1226+E1226-F1226),SUMIFS(SONDERZAHLUNGEN!$E$9:$E$128,SONDERZAHLUNGEN!$B$9:$B$128,C1226,SONDERZAHLUNGEN!$C$9:$C$128,A1226,SONDERZAHLUNGEN!$H$9:$H$128,"OK",SONDERZAHLUNGEN!$F$9:$F$128,"Ja")))</x:f>
      </x:c>
      <x:c r="H1226" s="88" t="str">
        <x:f>IF(C1226="","",MIN(MAX(0,D1226+E1226-F1226-G1226),MAX(0,IF(MONATSBUDGET!$C$68="",0,MONATSBUDGET!$C$68)-SUM(F1220:F1239)-SUM(H1220:H1225))))</x:f>
      </x:c>
      <x:c r="I1226" s="88" t="str">
        <x:f>IF(C1226="","",MAX(0,ROUND(D1226+E1226-F1226-G1226-H1226,2)))</x:f>
      </x:c>
      <x:c r="J1226" s="88" t="str">
        <x:f>IF(C1226="","",F1226+G1226+H1226)</x:f>
      </x:c>
      <x:c r="K1226" s="88" t="str">
        <x:f>IF(C1226="","",MAX(0,SUMIFS(SONDERZAHLUNGEN!$E$9:$E$128,SONDERZAHLUNGEN!$B$9:$B$128,C1226,SONDERZAHLUNGEN!$C$9:$C$128,A1226,SONDERZAHLUNGEN!$H$9:$H$128,"OK",SONDERZAHLUNGEN!$F$9:$F$128,"Ja")-G1226))</x:f>
      </x:c>
    </x:row>
    <x:row r="1227" ht="19" customHeight="1">
      <x:c r="A1227" s="90" t="n">
        <x:f>MONATSBUDGET!$A$68</x:f>
        <x:v>48061</x:v>
      </x:c>
      <x:c r="B1227" t="n">
        <x:f>8</x:f>
        <x:v>8</x:v>
      </x:c>
      <x:c r="C1227" t="str">
        <x:f>IF($N$16="","",$N$16)</x:f>
      </x:c>
      <x:c r="D1227" s="88" t="str">
        <x:f>IF(C1227="","",I1207)</x:f>
      </x:c>
      <x:c r="E1227" s="88" t="str">
        <x:f>IF(C1227="","",ROUND(D1227*$P$16/12,2))</x:f>
      </x:c>
      <x:c r="F1227" s="88" t="str">
        <x:f>IF(C1227="","",MIN(D1227+E1227,$Q$16))</x:f>
      </x:c>
      <x:c r="G1227" s="88" t="str">
        <x:f>IF(C1227="","",MIN(MAX(0,D1227+E1227-F1227),SUMIFS(SONDERZAHLUNGEN!$E$9:$E$128,SONDERZAHLUNGEN!$B$9:$B$128,C1227,SONDERZAHLUNGEN!$C$9:$C$128,A1227,SONDERZAHLUNGEN!$H$9:$H$128,"OK",SONDERZAHLUNGEN!$F$9:$F$128,"Ja")))</x:f>
      </x:c>
      <x:c r="H1227" s="88" t="str">
        <x:f>IF(C1227="","",MIN(MAX(0,D1227+E1227-F1227-G1227),MAX(0,IF(MONATSBUDGET!$C$68="",0,MONATSBUDGET!$C$68)-SUM(F1220:F1239)-SUM(H1220:H1226))))</x:f>
      </x:c>
      <x:c r="I1227" s="88" t="str">
        <x:f>IF(C1227="","",MAX(0,ROUND(D1227+E1227-F1227-G1227-H1227,2)))</x:f>
      </x:c>
      <x:c r="J1227" s="88" t="str">
        <x:f>IF(C1227="","",F1227+G1227+H1227)</x:f>
      </x:c>
      <x:c r="K1227" s="88" t="str">
        <x:f>IF(C1227="","",MAX(0,SUMIFS(SONDERZAHLUNGEN!$E$9:$E$128,SONDERZAHLUNGEN!$B$9:$B$128,C1227,SONDERZAHLUNGEN!$C$9:$C$128,A1227,SONDERZAHLUNGEN!$H$9:$H$128,"OK",SONDERZAHLUNGEN!$F$9:$F$128,"Ja")-G1227))</x:f>
      </x:c>
    </x:row>
    <x:row r="1228" ht="19" customHeight="1">
      <x:c r="A1228" s="90" t="n">
        <x:f>MONATSBUDGET!$A$68</x:f>
        <x:v>48061</x:v>
      </x:c>
      <x:c r="B1228" t="n">
        <x:f>9</x:f>
        <x:v>9</x:v>
      </x:c>
      <x:c r="C1228" t="str">
        <x:f>IF($N$17="","",$N$17)</x:f>
      </x:c>
      <x:c r="D1228" s="88" t="str">
        <x:f>IF(C1228="","",I1208)</x:f>
      </x:c>
      <x:c r="E1228" s="88" t="str">
        <x:f>IF(C1228="","",ROUND(D1228*$P$17/12,2))</x:f>
      </x:c>
      <x:c r="F1228" s="88" t="str">
        <x:f>IF(C1228="","",MIN(D1228+E1228,$Q$17))</x:f>
      </x:c>
      <x:c r="G1228" s="88" t="str">
        <x:f>IF(C1228="","",MIN(MAX(0,D1228+E1228-F1228),SUMIFS(SONDERZAHLUNGEN!$E$9:$E$128,SONDERZAHLUNGEN!$B$9:$B$128,C1228,SONDERZAHLUNGEN!$C$9:$C$128,A1228,SONDERZAHLUNGEN!$H$9:$H$128,"OK",SONDERZAHLUNGEN!$F$9:$F$128,"Ja")))</x:f>
      </x:c>
      <x:c r="H1228" s="88" t="str">
        <x:f>IF(C1228="","",MIN(MAX(0,D1228+E1228-F1228-G1228),MAX(0,IF(MONATSBUDGET!$C$68="",0,MONATSBUDGET!$C$68)-SUM(F1220:F1239)-SUM(H1220:H1227))))</x:f>
      </x:c>
      <x:c r="I1228" s="88" t="str">
        <x:f>IF(C1228="","",MAX(0,ROUND(D1228+E1228-F1228-G1228-H1228,2)))</x:f>
      </x:c>
      <x:c r="J1228" s="88" t="str">
        <x:f>IF(C1228="","",F1228+G1228+H1228)</x:f>
      </x:c>
      <x:c r="K1228" s="88" t="str">
        <x:f>IF(C1228="","",MAX(0,SUMIFS(SONDERZAHLUNGEN!$E$9:$E$128,SONDERZAHLUNGEN!$B$9:$B$128,C1228,SONDERZAHLUNGEN!$C$9:$C$128,A1228,SONDERZAHLUNGEN!$H$9:$H$128,"OK",SONDERZAHLUNGEN!$F$9:$F$128,"Ja")-G1228))</x:f>
      </x:c>
    </x:row>
    <x:row r="1229" ht="19" customHeight="1">
      <x:c r="A1229" s="90" t="n">
        <x:f>MONATSBUDGET!$A$68</x:f>
        <x:v>48061</x:v>
      </x:c>
      <x:c r="B1229" t="n">
        <x:f>10</x:f>
        <x:v>10</x:v>
      </x:c>
      <x:c r="C1229" t="str">
        <x:f>IF($N$18="","",$N$18)</x:f>
      </x:c>
      <x:c r="D1229" s="88" t="str">
        <x:f>IF(C1229="","",I1209)</x:f>
      </x:c>
      <x:c r="E1229" s="88" t="str">
        <x:f>IF(C1229="","",ROUND(D1229*$P$18/12,2))</x:f>
      </x:c>
      <x:c r="F1229" s="88" t="str">
        <x:f>IF(C1229="","",MIN(D1229+E1229,$Q$18))</x:f>
      </x:c>
      <x:c r="G1229" s="88" t="str">
        <x:f>IF(C1229="","",MIN(MAX(0,D1229+E1229-F1229),SUMIFS(SONDERZAHLUNGEN!$E$9:$E$128,SONDERZAHLUNGEN!$B$9:$B$128,C1229,SONDERZAHLUNGEN!$C$9:$C$128,A1229,SONDERZAHLUNGEN!$H$9:$H$128,"OK",SONDERZAHLUNGEN!$F$9:$F$128,"Ja")))</x:f>
      </x:c>
      <x:c r="H1229" s="88" t="str">
        <x:f>IF(C1229="","",MIN(MAX(0,D1229+E1229-F1229-G1229),MAX(0,IF(MONATSBUDGET!$C$68="",0,MONATSBUDGET!$C$68)-SUM(F1220:F1239)-SUM(H1220:H1228))))</x:f>
      </x:c>
      <x:c r="I1229" s="88" t="str">
        <x:f>IF(C1229="","",MAX(0,ROUND(D1229+E1229-F1229-G1229-H1229,2)))</x:f>
      </x:c>
      <x:c r="J1229" s="88" t="str">
        <x:f>IF(C1229="","",F1229+G1229+H1229)</x:f>
      </x:c>
      <x:c r="K1229" s="88" t="str">
        <x:f>IF(C1229="","",MAX(0,SUMIFS(SONDERZAHLUNGEN!$E$9:$E$128,SONDERZAHLUNGEN!$B$9:$B$128,C1229,SONDERZAHLUNGEN!$C$9:$C$128,A1229,SONDERZAHLUNGEN!$H$9:$H$128,"OK",SONDERZAHLUNGEN!$F$9:$F$128,"Ja")-G1229))</x:f>
      </x:c>
    </x:row>
    <x:row r="1230" ht="19" customHeight="1">
      <x:c r="A1230" s="90" t="n">
        <x:f>MONATSBUDGET!$A$68</x:f>
        <x:v>48061</x:v>
      </x:c>
      <x:c r="B1230" t="n">
        <x:f>11</x:f>
        <x:v>11</x:v>
      </x:c>
      <x:c r="C1230" t="str">
        <x:f>IF($N$19="","",$N$19)</x:f>
      </x:c>
      <x:c r="D1230" s="88" t="str">
        <x:f>IF(C1230="","",I1210)</x:f>
      </x:c>
      <x:c r="E1230" s="88" t="str">
        <x:f>IF(C1230="","",ROUND(D1230*$P$19/12,2))</x:f>
      </x:c>
      <x:c r="F1230" s="88" t="str">
        <x:f>IF(C1230="","",MIN(D1230+E1230,$Q$19))</x:f>
      </x:c>
      <x:c r="G1230" s="88" t="str">
        <x:f>IF(C1230="","",MIN(MAX(0,D1230+E1230-F1230),SUMIFS(SONDERZAHLUNGEN!$E$9:$E$128,SONDERZAHLUNGEN!$B$9:$B$128,C1230,SONDERZAHLUNGEN!$C$9:$C$128,A1230,SONDERZAHLUNGEN!$H$9:$H$128,"OK",SONDERZAHLUNGEN!$F$9:$F$128,"Ja")))</x:f>
      </x:c>
      <x:c r="H1230" s="88" t="str">
        <x:f>IF(C1230="","",MIN(MAX(0,D1230+E1230-F1230-G1230),MAX(0,IF(MONATSBUDGET!$C$68="",0,MONATSBUDGET!$C$68)-SUM(F1220:F1239)-SUM(H1220:H1229))))</x:f>
      </x:c>
      <x:c r="I1230" s="88" t="str">
        <x:f>IF(C1230="","",MAX(0,ROUND(D1230+E1230-F1230-G1230-H1230,2)))</x:f>
      </x:c>
      <x:c r="J1230" s="88" t="str">
        <x:f>IF(C1230="","",F1230+G1230+H1230)</x:f>
      </x:c>
      <x:c r="K1230" s="88" t="str">
        <x:f>IF(C1230="","",MAX(0,SUMIFS(SONDERZAHLUNGEN!$E$9:$E$128,SONDERZAHLUNGEN!$B$9:$B$128,C1230,SONDERZAHLUNGEN!$C$9:$C$128,A1230,SONDERZAHLUNGEN!$H$9:$H$128,"OK",SONDERZAHLUNGEN!$F$9:$F$128,"Ja")-G1230))</x:f>
      </x:c>
    </x:row>
    <x:row r="1231" ht="19" customHeight="1">
      <x:c r="A1231" s="90" t="n">
        <x:f>MONATSBUDGET!$A$68</x:f>
        <x:v>48061</x:v>
      </x:c>
      <x:c r="B1231" t="n">
        <x:f>12</x:f>
        <x:v>12</x:v>
      </x:c>
      <x:c r="C1231" t="str">
        <x:f>IF($N$20="","",$N$20)</x:f>
      </x:c>
      <x:c r="D1231" s="88" t="str">
        <x:f>IF(C1231="","",I1211)</x:f>
      </x:c>
      <x:c r="E1231" s="88" t="str">
        <x:f>IF(C1231="","",ROUND(D1231*$P$20/12,2))</x:f>
      </x:c>
      <x:c r="F1231" s="88" t="str">
        <x:f>IF(C1231="","",MIN(D1231+E1231,$Q$20))</x:f>
      </x:c>
      <x:c r="G1231" s="88" t="str">
        <x:f>IF(C1231="","",MIN(MAX(0,D1231+E1231-F1231),SUMIFS(SONDERZAHLUNGEN!$E$9:$E$128,SONDERZAHLUNGEN!$B$9:$B$128,C1231,SONDERZAHLUNGEN!$C$9:$C$128,A1231,SONDERZAHLUNGEN!$H$9:$H$128,"OK",SONDERZAHLUNGEN!$F$9:$F$128,"Ja")))</x:f>
      </x:c>
      <x:c r="H1231" s="88" t="str">
        <x:f>IF(C1231="","",MIN(MAX(0,D1231+E1231-F1231-G1231),MAX(0,IF(MONATSBUDGET!$C$68="",0,MONATSBUDGET!$C$68)-SUM(F1220:F1239)-SUM(H1220:H1230))))</x:f>
      </x:c>
      <x:c r="I1231" s="88" t="str">
        <x:f>IF(C1231="","",MAX(0,ROUND(D1231+E1231-F1231-G1231-H1231,2)))</x:f>
      </x:c>
      <x:c r="J1231" s="88" t="str">
        <x:f>IF(C1231="","",F1231+G1231+H1231)</x:f>
      </x:c>
      <x:c r="K1231" s="88" t="str">
        <x:f>IF(C1231="","",MAX(0,SUMIFS(SONDERZAHLUNGEN!$E$9:$E$128,SONDERZAHLUNGEN!$B$9:$B$128,C1231,SONDERZAHLUNGEN!$C$9:$C$128,A1231,SONDERZAHLUNGEN!$H$9:$H$128,"OK",SONDERZAHLUNGEN!$F$9:$F$128,"Ja")-G1231))</x:f>
      </x:c>
    </x:row>
    <x:row r="1232" ht="19" customHeight="1">
      <x:c r="A1232" s="90" t="n">
        <x:f>MONATSBUDGET!$A$68</x:f>
        <x:v>48061</x:v>
      </x:c>
      <x:c r="B1232" t="n">
        <x:f>13</x:f>
        <x:v>13</x:v>
      </x:c>
      <x:c r="C1232" t="str">
        <x:f>IF($N$21="","",$N$21)</x:f>
      </x:c>
      <x:c r="D1232" s="88" t="str">
        <x:f>IF(C1232="","",I1212)</x:f>
      </x:c>
      <x:c r="E1232" s="88" t="str">
        <x:f>IF(C1232="","",ROUND(D1232*$P$21/12,2))</x:f>
      </x:c>
      <x:c r="F1232" s="88" t="str">
        <x:f>IF(C1232="","",MIN(D1232+E1232,$Q$21))</x:f>
      </x:c>
      <x:c r="G1232" s="88" t="str">
        <x:f>IF(C1232="","",MIN(MAX(0,D1232+E1232-F1232),SUMIFS(SONDERZAHLUNGEN!$E$9:$E$128,SONDERZAHLUNGEN!$B$9:$B$128,C1232,SONDERZAHLUNGEN!$C$9:$C$128,A1232,SONDERZAHLUNGEN!$H$9:$H$128,"OK",SONDERZAHLUNGEN!$F$9:$F$128,"Ja")))</x:f>
      </x:c>
      <x:c r="H1232" s="88" t="str">
        <x:f>IF(C1232="","",MIN(MAX(0,D1232+E1232-F1232-G1232),MAX(0,IF(MONATSBUDGET!$C$68="",0,MONATSBUDGET!$C$68)-SUM(F1220:F1239)-SUM(H1220:H1231))))</x:f>
      </x:c>
      <x:c r="I1232" s="88" t="str">
        <x:f>IF(C1232="","",MAX(0,ROUND(D1232+E1232-F1232-G1232-H1232,2)))</x:f>
      </x:c>
      <x:c r="J1232" s="88" t="str">
        <x:f>IF(C1232="","",F1232+G1232+H1232)</x:f>
      </x:c>
      <x:c r="K1232" s="88" t="str">
        <x:f>IF(C1232="","",MAX(0,SUMIFS(SONDERZAHLUNGEN!$E$9:$E$128,SONDERZAHLUNGEN!$B$9:$B$128,C1232,SONDERZAHLUNGEN!$C$9:$C$128,A1232,SONDERZAHLUNGEN!$H$9:$H$128,"OK",SONDERZAHLUNGEN!$F$9:$F$128,"Ja")-G1232))</x:f>
      </x:c>
    </x:row>
    <x:row r="1233" ht="19" customHeight="1">
      <x:c r="A1233" s="90" t="n">
        <x:f>MONATSBUDGET!$A$68</x:f>
        <x:v>48061</x:v>
      </x:c>
      <x:c r="B1233" t="n">
        <x:f>14</x:f>
        <x:v>14</x:v>
      </x:c>
      <x:c r="C1233" t="str">
        <x:f>IF($N$22="","",$N$22)</x:f>
      </x:c>
      <x:c r="D1233" s="88" t="str">
        <x:f>IF(C1233="","",I1213)</x:f>
      </x:c>
      <x:c r="E1233" s="88" t="str">
        <x:f>IF(C1233="","",ROUND(D1233*$P$22/12,2))</x:f>
      </x:c>
      <x:c r="F1233" s="88" t="str">
        <x:f>IF(C1233="","",MIN(D1233+E1233,$Q$22))</x:f>
      </x:c>
      <x:c r="G1233" s="88" t="str">
        <x:f>IF(C1233="","",MIN(MAX(0,D1233+E1233-F1233),SUMIFS(SONDERZAHLUNGEN!$E$9:$E$128,SONDERZAHLUNGEN!$B$9:$B$128,C1233,SONDERZAHLUNGEN!$C$9:$C$128,A1233,SONDERZAHLUNGEN!$H$9:$H$128,"OK",SONDERZAHLUNGEN!$F$9:$F$128,"Ja")))</x:f>
      </x:c>
      <x:c r="H1233" s="88" t="str">
        <x:f>IF(C1233="","",MIN(MAX(0,D1233+E1233-F1233-G1233),MAX(0,IF(MONATSBUDGET!$C$68="",0,MONATSBUDGET!$C$68)-SUM(F1220:F1239)-SUM(H1220:H1232))))</x:f>
      </x:c>
      <x:c r="I1233" s="88" t="str">
        <x:f>IF(C1233="","",MAX(0,ROUND(D1233+E1233-F1233-G1233-H1233,2)))</x:f>
      </x:c>
      <x:c r="J1233" s="88" t="str">
        <x:f>IF(C1233="","",F1233+G1233+H1233)</x:f>
      </x:c>
      <x:c r="K1233" s="88" t="str">
        <x:f>IF(C1233="","",MAX(0,SUMIFS(SONDERZAHLUNGEN!$E$9:$E$128,SONDERZAHLUNGEN!$B$9:$B$128,C1233,SONDERZAHLUNGEN!$C$9:$C$128,A1233,SONDERZAHLUNGEN!$H$9:$H$128,"OK",SONDERZAHLUNGEN!$F$9:$F$128,"Ja")-G1233))</x:f>
      </x:c>
    </x:row>
    <x:row r="1234" ht="19" customHeight="1">
      <x:c r="A1234" s="90" t="n">
        <x:f>MONATSBUDGET!$A$68</x:f>
        <x:v>48061</x:v>
      </x:c>
      <x:c r="B1234" t="n">
        <x:f>15</x:f>
        <x:v>15</x:v>
      </x:c>
      <x:c r="C1234" t="str">
        <x:f>IF($N$23="","",$N$23)</x:f>
      </x:c>
      <x:c r="D1234" s="88" t="str">
        <x:f>IF(C1234="","",I1214)</x:f>
      </x:c>
      <x:c r="E1234" s="88" t="str">
        <x:f>IF(C1234="","",ROUND(D1234*$P$23/12,2))</x:f>
      </x:c>
      <x:c r="F1234" s="88" t="str">
        <x:f>IF(C1234="","",MIN(D1234+E1234,$Q$23))</x:f>
      </x:c>
      <x:c r="G1234" s="88" t="str">
        <x:f>IF(C1234="","",MIN(MAX(0,D1234+E1234-F1234),SUMIFS(SONDERZAHLUNGEN!$E$9:$E$128,SONDERZAHLUNGEN!$B$9:$B$128,C1234,SONDERZAHLUNGEN!$C$9:$C$128,A1234,SONDERZAHLUNGEN!$H$9:$H$128,"OK",SONDERZAHLUNGEN!$F$9:$F$128,"Ja")))</x:f>
      </x:c>
      <x:c r="H1234" s="88" t="str">
        <x:f>IF(C1234="","",MIN(MAX(0,D1234+E1234-F1234-G1234),MAX(0,IF(MONATSBUDGET!$C$68="",0,MONATSBUDGET!$C$68)-SUM(F1220:F1239)-SUM(H1220:H1233))))</x:f>
      </x:c>
      <x:c r="I1234" s="88" t="str">
        <x:f>IF(C1234="","",MAX(0,ROUND(D1234+E1234-F1234-G1234-H1234,2)))</x:f>
      </x:c>
      <x:c r="J1234" s="88" t="str">
        <x:f>IF(C1234="","",F1234+G1234+H1234)</x:f>
      </x:c>
      <x:c r="K1234" s="88" t="str">
        <x:f>IF(C1234="","",MAX(0,SUMIFS(SONDERZAHLUNGEN!$E$9:$E$128,SONDERZAHLUNGEN!$B$9:$B$128,C1234,SONDERZAHLUNGEN!$C$9:$C$128,A1234,SONDERZAHLUNGEN!$H$9:$H$128,"OK",SONDERZAHLUNGEN!$F$9:$F$128,"Ja")-G1234))</x:f>
      </x:c>
    </x:row>
    <x:row r="1235" ht="19" customHeight="1">
      <x:c r="A1235" s="90" t="n">
        <x:f>MONATSBUDGET!$A$68</x:f>
        <x:v>48061</x:v>
      </x:c>
      <x:c r="B1235" t="n">
        <x:f>16</x:f>
        <x:v>16</x:v>
      </x:c>
      <x:c r="C1235" t="str">
        <x:f>IF($N$24="","",$N$24)</x:f>
      </x:c>
      <x:c r="D1235" s="88" t="str">
        <x:f>IF(C1235="","",I1215)</x:f>
      </x:c>
      <x:c r="E1235" s="88" t="str">
        <x:f>IF(C1235="","",ROUND(D1235*$P$24/12,2))</x:f>
      </x:c>
      <x:c r="F1235" s="88" t="str">
        <x:f>IF(C1235="","",MIN(D1235+E1235,$Q$24))</x:f>
      </x:c>
      <x:c r="G1235" s="88" t="str">
        <x:f>IF(C1235="","",MIN(MAX(0,D1235+E1235-F1235),SUMIFS(SONDERZAHLUNGEN!$E$9:$E$128,SONDERZAHLUNGEN!$B$9:$B$128,C1235,SONDERZAHLUNGEN!$C$9:$C$128,A1235,SONDERZAHLUNGEN!$H$9:$H$128,"OK",SONDERZAHLUNGEN!$F$9:$F$128,"Ja")))</x:f>
      </x:c>
      <x:c r="H1235" s="88" t="str">
        <x:f>IF(C1235="","",MIN(MAX(0,D1235+E1235-F1235-G1235),MAX(0,IF(MONATSBUDGET!$C$68="",0,MONATSBUDGET!$C$68)-SUM(F1220:F1239)-SUM(H1220:H1234))))</x:f>
      </x:c>
      <x:c r="I1235" s="88" t="str">
        <x:f>IF(C1235="","",MAX(0,ROUND(D1235+E1235-F1235-G1235-H1235,2)))</x:f>
      </x:c>
      <x:c r="J1235" s="88" t="str">
        <x:f>IF(C1235="","",F1235+G1235+H1235)</x:f>
      </x:c>
      <x:c r="K1235" s="88" t="str">
        <x:f>IF(C1235="","",MAX(0,SUMIFS(SONDERZAHLUNGEN!$E$9:$E$128,SONDERZAHLUNGEN!$B$9:$B$128,C1235,SONDERZAHLUNGEN!$C$9:$C$128,A1235,SONDERZAHLUNGEN!$H$9:$H$128,"OK",SONDERZAHLUNGEN!$F$9:$F$128,"Ja")-G1235))</x:f>
      </x:c>
    </x:row>
    <x:row r="1236" ht="19" customHeight="1">
      <x:c r="A1236" s="90" t="n">
        <x:f>MONATSBUDGET!$A$68</x:f>
        <x:v>48061</x:v>
      </x:c>
      <x:c r="B1236" t="n">
        <x:f>17</x:f>
        <x:v>17</x:v>
      </x:c>
      <x:c r="C1236" t="str">
        <x:f>IF($N$25="","",$N$25)</x:f>
      </x:c>
      <x:c r="D1236" s="88" t="str">
        <x:f>IF(C1236="","",I1216)</x:f>
      </x:c>
      <x:c r="E1236" s="88" t="str">
        <x:f>IF(C1236="","",ROUND(D1236*$P$25/12,2))</x:f>
      </x:c>
      <x:c r="F1236" s="88" t="str">
        <x:f>IF(C1236="","",MIN(D1236+E1236,$Q$25))</x:f>
      </x:c>
      <x:c r="G1236" s="88" t="str">
        <x:f>IF(C1236="","",MIN(MAX(0,D1236+E1236-F1236),SUMIFS(SONDERZAHLUNGEN!$E$9:$E$128,SONDERZAHLUNGEN!$B$9:$B$128,C1236,SONDERZAHLUNGEN!$C$9:$C$128,A1236,SONDERZAHLUNGEN!$H$9:$H$128,"OK",SONDERZAHLUNGEN!$F$9:$F$128,"Ja")))</x:f>
      </x:c>
      <x:c r="H1236" s="88" t="str">
        <x:f>IF(C1236="","",MIN(MAX(0,D1236+E1236-F1236-G1236),MAX(0,IF(MONATSBUDGET!$C$68="",0,MONATSBUDGET!$C$68)-SUM(F1220:F1239)-SUM(H1220:H1235))))</x:f>
      </x:c>
      <x:c r="I1236" s="88" t="str">
        <x:f>IF(C1236="","",MAX(0,ROUND(D1236+E1236-F1236-G1236-H1236,2)))</x:f>
      </x:c>
      <x:c r="J1236" s="88" t="str">
        <x:f>IF(C1236="","",F1236+G1236+H1236)</x:f>
      </x:c>
      <x:c r="K1236" s="88" t="str">
        <x:f>IF(C1236="","",MAX(0,SUMIFS(SONDERZAHLUNGEN!$E$9:$E$128,SONDERZAHLUNGEN!$B$9:$B$128,C1236,SONDERZAHLUNGEN!$C$9:$C$128,A1236,SONDERZAHLUNGEN!$H$9:$H$128,"OK",SONDERZAHLUNGEN!$F$9:$F$128,"Ja")-G1236))</x:f>
      </x:c>
    </x:row>
    <x:row r="1237" ht="19" customHeight="1">
      <x:c r="A1237" s="90" t="n">
        <x:f>MONATSBUDGET!$A$68</x:f>
        <x:v>48061</x:v>
      </x:c>
      <x:c r="B1237" t="n">
        <x:f>18</x:f>
        <x:v>18</x:v>
      </x:c>
      <x:c r="C1237" t="str">
        <x:f>IF($N$26="","",$N$26)</x:f>
      </x:c>
      <x:c r="D1237" s="88" t="str">
        <x:f>IF(C1237="","",I1217)</x:f>
      </x:c>
      <x:c r="E1237" s="88" t="str">
        <x:f>IF(C1237="","",ROUND(D1237*$P$26/12,2))</x:f>
      </x:c>
      <x:c r="F1237" s="88" t="str">
        <x:f>IF(C1237="","",MIN(D1237+E1237,$Q$26))</x:f>
      </x:c>
      <x:c r="G1237" s="88" t="str">
        <x:f>IF(C1237="","",MIN(MAX(0,D1237+E1237-F1237),SUMIFS(SONDERZAHLUNGEN!$E$9:$E$128,SONDERZAHLUNGEN!$B$9:$B$128,C1237,SONDERZAHLUNGEN!$C$9:$C$128,A1237,SONDERZAHLUNGEN!$H$9:$H$128,"OK",SONDERZAHLUNGEN!$F$9:$F$128,"Ja")))</x:f>
      </x:c>
      <x:c r="H1237" s="88" t="str">
        <x:f>IF(C1237="","",MIN(MAX(0,D1237+E1237-F1237-G1237),MAX(0,IF(MONATSBUDGET!$C$68="",0,MONATSBUDGET!$C$68)-SUM(F1220:F1239)-SUM(H1220:H1236))))</x:f>
      </x:c>
      <x:c r="I1237" s="88" t="str">
        <x:f>IF(C1237="","",MAX(0,ROUND(D1237+E1237-F1237-G1237-H1237,2)))</x:f>
      </x:c>
      <x:c r="J1237" s="88" t="str">
        <x:f>IF(C1237="","",F1237+G1237+H1237)</x:f>
      </x:c>
      <x:c r="K1237" s="88" t="str">
        <x:f>IF(C1237="","",MAX(0,SUMIFS(SONDERZAHLUNGEN!$E$9:$E$128,SONDERZAHLUNGEN!$B$9:$B$128,C1237,SONDERZAHLUNGEN!$C$9:$C$128,A1237,SONDERZAHLUNGEN!$H$9:$H$128,"OK",SONDERZAHLUNGEN!$F$9:$F$128,"Ja")-G1237))</x:f>
      </x:c>
    </x:row>
    <x:row r="1238" ht="19" customHeight="1">
      <x:c r="A1238" s="90" t="n">
        <x:f>MONATSBUDGET!$A$68</x:f>
        <x:v>48061</x:v>
      </x:c>
      <x:c r="B1238" t="n">
        <x:f>19</x:f>
        <x:v>19</x:v>
      </x:c>
      <x:c r="C1238" t="str">
        <x:f>IF($N$27="","",$N$27)</x:f>
      </x:c>
      <x:c r="D1238" s="88" t="str">
        <x:f>IF(C1238="","",I1218)</x:f>
      </x:c>
      <x:c r="E1238" s="88" t="str">
        <x:f>IF(C1238="","",ROUND(D1238*$P$27/12,2))</x:f>
      </x:c>
      <x:c r="F1238" s="88" t="str">
        <x:f>IF(C1238="","",MIN(D1238+E1238,$Q$27))</x:f>
      </x:c>
      <x:c r="G1238" s="88" t="str">
        <x:f>IF(C1238="","",MIN(MAX(0,D1238+E1238-F1238),SUMIFS(SONDERZAHLUNGEN!$E$9:$E$128,SONDERZAHLUNGEN!$B$9:$B$128,C1238,SONDERZAHLUNGEN!$C$9:$C$128,A1238,SONDERZAHLUNGEN!$H$9:$H$128,"OK",SONDERZAHLUNGEN!$F$9:$F$128,"Ja")))</x:f>
      </x:c>
      <x:c r="H1238" s="88" t="str">
        <x:f>IF(C1238="","",MIN(MAX(0,D1238+E1238-F1238-G1238),MAX(0,IF(MONATSBUDGET!$C$68="",0,MONATSBUDGET!$C$68)-SUM(F1220:F1239)-SUM(H1220:H1237))))</x:f>
      </x:c>
      <x:c r="I1238" s="88" t="str">
        <x:f>IF(C1238="","",MAX(0,ROUND(D1238+E1238-F1238-G1238-H1238,2)))</x:f>
      </x:c>
      <x:c r="J1238" s="88" t="str">
        <x:f>IF(C1238="","",F1238+G1238+H1238)</x:f>
      </x:c>
      <x:c r="K1238" s="88" t="str">
        <x:f>IF(C1238="","",MAX(0,SUMIFS(SONDERZAHLUNGEN!$E$9:$E$128,SONDERZAHLUNGEN!$B$9:$B$128,C1238,SONDERZAHLUNGEN!$C$9:$C$128,A1238,SONDERZAHLUNGEN!$H$9:$H$128,"OK",SONDERZAHLUNGEN!$F$9:$F$128,"Ja")-G1238))</x:f>
      </x:c>
    </x:row>
    <x:row r="1239" ht="19" customHeight="1">
      <x:c r="A1239" s="90" t="n">
        <x:f>MONATSBUDGET!$A$68</x:f>
        <x:v>48061</x:v>
      </x:c>
      <x:c r="B1239" t="n">
        <x:f>20</x:f>
        <x:v>20</x:v>
      </x:c>
      <x:c r="C1239" t="str">
        <x:f>IF($N$28="","",$N$28)</x:f>
      </x:c>
      <x:c r="D1239" s="88" t="str">
        <x:f>IF(C1239="","",I1219)</x:f>
      </x:c>
      <x:c r="E1239" s="88" t="str">
        <x:f>IF(C1239="","",ROUND(D1239*$P$28/12,2))</x:f>
      </x:c>
      <x:c r="F1239" s="88" t="str">
        <x:f>IF(C1239="","",MIN(D1239+E1239,$Q$28))</x:f>
      </x:c>
      <x:c r="G1239" s="88" t="str">
        <x:f>IF(C1239="","",MIN(MAX(0,D1239+E1239-F1239),SUMIFS(SONDERZAHLUNGEN!$E$9:$E$128,SONDERZAHLUNGEN!$B$9:$B$128,C1239,SONDERZAHLUNGEN!$C$9:$C$128,A1239,SONDERZAHLUNGEN!$H$9:$H$128,"OK",SONDERZAHLUNGEN!$F$9:$F$128,"Ja")))</x:f>
      </x:c>
      <x:c r="H1239" s="88" t="str">
        <x:f>IF(C1239="","",MIN(MAX(0,D1239+E1239-F1239-G1239),MAX(0,IF(MONATSBUDGET!$C$68="",0,MONATSBUDGET!$C$68)-SUM(F1220:F1239)-SUM(H1220:H1238))))</x:f>
      </x:c>
      <x:c r="I1239" s="88" t="str">
        <x:f>IF(C1239="","",MAX(0,ROUND(D1239+E1239-F1239-G1239-H1239,2)))</x:f>
      </x:c>
      <x:c r="J1239" s="88" t="str">
        <x:f>IF(C1239="","",F1239+G1239+H1239)</x:f>
      </x:c>
      <x:c r="K1239" s="88" t="str">
        <x:f>IF(C1239="","",MAX(0,SUMIFS(SONDERZAHLUNGEN!$E$9:$E$128,SONDERZAHLUNGEN!$B$9:$B$128,C1239,SONDERZAHLUNGEN!$C$9:$C$128,A1239,SONDERZAHLUNGEN!$H$9:$H$128,"OK",SONDERZAHLUNGEN!$F$9:$F$128,"Ja")-G1239))</x:f>
      </x:c>
    </x:row>
    <x:row r="1240" ht="19" customHeight="1">
      <x:c r="A1240" s="90" t="n">
        <x:f>MONATSBUDGET!$A$69</x:f>
        <x:v>48092</x:v>
      </x:c>
      <x:c r="B1240" t="n">
        <x:f>1</x:f>
        <x:v>1</x:v>
      </x:c>
      <x:c r="C1240" t="str">
        <x:f>IF($N$9="","",$N$9)</x:f>
      </x:c>
      <x:c r="D1240" s="88" t="str">
        <x:f>IF(C1240="","",I1220)</x:f>
      </x:c>
      <x:c r="E1240" s="88" t="str">
        <x:f>IF(C1240="","",ROUND(D1240*$P$9/12,2))</x:f>
      </x:c>
      <x:c r="F1240" s="88" t="str">
        <x:f>IF(C1240="","",MIN(D1240+E1240,$Q$9))</x:f>
      </x:c>
      <x:c r="G1240" s="88" t="str">
        <x:f>IF(C1240="","",MIN(MAX(0,D1240+E1240-F1240),SUMIFS(SONDERZAHLUNGEN!$E$9:$E$128,SONDERZAHLUNGEN!$B$9:$B$128,C1240,SONDERZAHLUNGEN!$C$9:$C$128,A1240,SONDERZAHLUNGEN!$H$9:$H$128,"OK",SONDERZAHLUNGEN!$F$9:$F$128,"Ja")))</x:f>
      </x:c>
      <x:c r="H1240" s="88" t="str">
        <x:f>IF(C1240="","",MIN(MAX(0,D1240+E1240-F1240-G1240),MAX(0,IF(MONATSBUDGET!$C$69="",0,MONATSBUDGET!$C$69)-SUM(F1240:F1259)-0)))</x:f>
      </x:c>
      <x:c r="I1240" s="88" t="str">
        <x:f>IF(C1240="","",MAX(0,ROUND(D1240+E1240-F1240-G1240-H1240,2)))</x:f>
      </x:c>
      <x:c r="J1240" s="88" t="str">
        <x:f>IF(C1240="","",F1240+G1240+H1240)</x:f>
      </x:c>
      <x:c r="K1240" s="88" t="str">
        <x:f>IF(C1240="","",MAX(0,SUMIFS(SONDERZAHLUNGEN!$E$9:$E$128,SONDERZAHLUNGEN!$B$9:$B$128,C1240,SONDERZAHLUNGEN!$C$9:$C$128,A1240,SONDERZAHLUNGEN!$H$9:$H$128,"OK",SONDERZAHLUNGEN!$F$9:$F$128,"Ja")-G1240))</x:f>
      </x:c>
    </x:row>
    <x:row r="1241" ht="19" customHeight="1">
      <x:c r="A1241" s="90" t="n">
        <x:f>MONATSBUDGET!$A$69</x:f>
        <x:v>48092</x:v>
      </x:c>
      <x:c r="B1241" t="n">
        <x:f>2</x:f>
        <x:v>2</x:v>
      </x:c>
      <x:c r="C1241" t="str">
        <x:f>IF($N$10="","",$N$10)</x:f>
      </x:c>
      <x:c r="D1241" s="88" t="str">
        <x:f>IF(C1241="","",I1221)</x:f>
      </x:c>
      <x:c r="E1241" s="88" t="str">
        <x:f>IF(C1241="","",ROUND(D1241*$P$10/12,2))</x:f>
      </x:c>
      <x:c r="F1241" s="88" t="str">
        <x:f>IF(C1241="","",MIN(D1241+E1241,$Q$10))</x:f>
      </x:c>
      <x:c r="G1241" s="88" t="str">
        <x:f>IF(C1241="","",MIN(MAX(0,D1241+E1241-F1241),SUMIFS(SONDERZAHLUNGEN!$E$9:$E$128,SONDERZAHLUNGEN!$B$9:$B$128,C1241,SONDERZAHLUNGEN!$C$9:$C$128,A1241,SONDERZAHLUNGEN!$H$9:$H$128,"OK",SONDERZAHLUNGEN!$F$9:$F$128,"Ja")))</x:f>
      </x:c>
      <x:c r="H1241" s="88" t="str">
        <x:f>IF(C1241="","",MIN(MAX(0,D1241+E1241-F1241-G1241),MAX(0,IF(MONATSBUDGET!$C$69="",0,MONATSBUDGET!$C$69)-SUM(F1240:F1259)-SUM(H1240:H1240))))</x:f>
      </x:c>
      <x:c r="I1241" s="88" t="str">
        <x:f>IF(C1241="","",MAX(0,ROUND(D1241+E1241-F1241-G1241-H1241,2)))</x:f>
      </x:c>
      <x:c r="J1241" s="88" t="str">
        <x:f>IF(C1241="","",F1241+G1241+H1241)</x:f>
      </x:c>
      <x:c r="K1241" s="88" t="str">
        <x:f>IF(C1241="","",MAX(0,SUMIFS(SONDERZAHLUNGEN!$E$9:$E$128,SONDERZAHLUNGEN!$B$9:$B$128,C1241,SONDERZAHLUNGEN!$C$9:$C$128,A1241,SONDERZAHLUNGEN!$H$9:$H$128,"OK",SONDERZAHLUNGEN!$F$9:$F$128,"Ja")-G1241))</x:f>
      </x:c>
    </x:row>
    <x:row r="1242" ht="19" customHeight="1">
      <x:c r="A1242" s="90" t="n">
        <x:f>MONATSBUDGET!$A$69</x:f>
        <x:v>48092</x:v>
      </x:c>
      <x:c r="B1242" t="n">
        <x:f>3</x:f>
        <x:v>3</x:v>
      </x:c>
      <x:c r="C1242" t="str">
        <x:f>IF($N$11="","",$N$11)</x:f>
      </x:c>
      <x:c r="D1242" s="88" t="str">
        <x:f>IF(C1242="","",I1222)</x:f>
      </x:c>
      <x:c r="E1242" s="88" t="str">
        <x:f>IF(C1242="","",ROUND(D1242*$P$11/12,2))</x:f>
      </x:c>
      <x:c r="F1242" s="88" t="str">
        <x:f>IF(C1242="","",MIN(D1242+E1242,$Q$11))</x:f>
      </x:c>
      <x:c r="G1242" s="88" t="str">
        <x:f>IF(C1242="","",MIN(MAX(0,D1242+E1242-F1242),SUMIFS(SONDERZAHLUNGEN!$E$9:$E$128,SONDERZAHLUNGEN!$B$9:$B$128,C1242,SONDERZAHLUNGEN!$C$9:$C$128,A1242,SONDERZAHLUNGEN!$H$9:$H$128,"OK",SONDERZAHLUNGEN!$F$9:$F$128,"Ja")))</x:f>
      </x:c>
      <x:c r="H1242" s="88" t="str">
        <x:f>IF(C1242="","",MIN(MAX(0,D1242+E1242-F1242-G1242),MAX(0,IF(MONATSBUDGET!$C$69="",0,MONATSBUDGET!$C$69)-SUM(F1240:F1259)-SUM(H1240:H1241))))</x:f>
      </x:c>
      <x:c r="I1242" s="88" t="str">
        <x:f>IF(C1242="","",MAX(0,ROUND(D1242+E1242-F1242-G1242-H1242,2)))</x:f>
      </x:c>
      <x:c r="J1242" s="88" t="str">
        <x:f>IF(C1242="","",F1242+G1242+H1242)</x:f>
      </x:c>
      <x:c r="K1242" s="88" t="str">
        <x:f>IF(C1242="","",MAX(0,SUMIFS(SONDERZAHLUNGEN!$E$9:$E$128,SONDERZAHLUNGEN!$B$9:$B$128,C1242,SONDERZAHLUNGEN!$C$9:$C$128,A1242,SONDERZAHLUNGEN!$H$9:$H$128,"OK",SONDERZAHLUNGEN!$F$9:$F$128,"Ja")-G1242))</x:f>
      </x:c>
    </x:row>
    <x:row r="1243" ht="19" customHeight="1">
      <x:c r="A1243" s="90" t="n">
        <x:f>MONATSBUDGET!$A$69</x:f>
        <x:v>48092</x:v>
      </x:c>
      <x:c r="B1243" t="n">
        <x:f>4</x:f>
        <x:v>4</x:v>
      </x:c>
      <x:c r="C1243" t="str">
        <x:f>IF($N$12="","",$N$12)</x:f>
      </x:c>
      <x:c r="D1243" s="88" t="str">
        <x:f>IF(C1243="","",I1223)</x:f>
      </x:c>
      <x:c r="E1243" s="88" t="str">
        <x:f>IF(C1243="","",ROUND(D1243*$P$12/12,2))</x:f>
      </x:c>
      <x:c r="F1243" s="88" t="str">
        <x:f>IF(C1243="","",MIN(D1243+E1243,$Q$12))</x:f>
      </x:c>
      <x:c r="G1243" s="88" t="str">
        <x:f>IF(C1243="","",MIN(MAX(0,D1243+E1243-F1243),SUMIFS(SONDERZAHLUNGEN!$E$9:$E$128,SONDERZAHLUNGEN!$B$9:$B$128,C1243,SONDERZAHLUNGEN!$C$9:$C$128,A1243,SONDERZAHLUNGEN!$H$9:$H$128,"OK",SONDERZAHLUNGEN!$F$9:$F$128,"Ja")))</x:f>
      </x:c>
      <x:c r="H1243" s="88" t="str">
        <x:f>IF(C1243="","",MIN(MAX(0,D1243+E1243-F1243-G1243),MAX(0,IF(MONATSBUDGET!$C$69="",0,MONATSBUDGET!$C$69)-SUM(F1240:F1259)-SUM(H1240:H1242))))</x:f>
      </x:c>
      <x:c r="I1243" s="88" t="str">
        <x:f>IF(C1243="","",MAX(0,ROUND(D1243+E1243-F1243-G1243-H1243,2)))</x:f>
      </x:c>
      <x:c r="J1243" s="88" t="str">
        <x:f>IF(C1243="","",F1243+G1243+H1243)</x:f>
      </x:c>
      <x:c r="K1243" s="88" t="str">
        <x:f>IF(C1243="","",MAX(0,SUMIFS(SONDERZAHLUNGEN!$E$9:$E$128,SONDERZAHLUNGEN!$B$9:$B$128,C1243,SONDERZAHLUNGEN!$C$9:$C$128,A1243,SONDERZAHLUNGEN!$H$9:$H$128,"OK",SONDERZAHLUNGEN!$F$9:$F$128,"Ja")-G1243))</x:f>
      </x:c>
    </x:row>
    <x:row r="1244" ht="19" customHeight="1">
      <x:c r="A1244" s="90" t="n">
        <x:f>MONATSBUDGET!$A$69</x:f>
        <x:v>48092</x:v>
      </x:c>
      <x:c r="B1244" t="n">
        <x:f>5</x:f>
        <x:v>5</x:v>
      </x:c>
      <x:c r="C1244" t="str">
        <x:f>IF($N$13="","",$N$13)</x:f>
      </x:c>
      <x:c r="D1244" s="88" t="str">
        <x:f>IF(C1244="","",I1224)</x:f>
      </x:c>
      <x:c r="E1244" s="88" t="str">
        <x:f>IF(C1244="","",ROUND(D1244*$P$13/12,2))</x:f>
      </x:c>
      <x:c r="F1244" s="88" t="str">
        <x:f>IF(C1244="","",MIN(D1244+E1244,$Q$13))</x:f>
      </x:c>
      <x:c r="G1244" s="88" t="str">
        <x:f>IF(C1244="","",MIN(MAX(0,D1244+E1244-F1244),SUMIFS(SONDERZAHLUNGEN!$E$9:$E$128,SONDERZAHLUNGEN!$B$9:$B$128,C1244,SONDERZAHLUNGEN!$C$9:$C$128,A1244,SONDERZAHLUNGEN!$H$9:$H$128,"OK",SONDERZAHLUNGEN!$F$9:$F$128,"Ja")))</x:f>
      </x:c>
      <x:c r="H1244" s="88" t="str">
        <x:f>IF(C1244="","",MIN(MAX(0,D1244+E1244-F1244-G1244),MAX(0,IF(MONATSBUDGET!$C$69="",0,MONATSBUDGET!$C$69)-SUM(F1240:F1259)-SUM(H1240:H1243))))</x:f>
      </x:c>
      <x:c r="I1244" s="88" t="str">
        <x:f>IF(C1244="","",MAX(0,ROUND(D1244+E1244-F1244-G1244-H1244,2)))</x:f>
      </x:c>
      <x:c r="J1244" s="88" t="str">
        <x:f>IF(C1244="","",F1244+G1244+H1244)</x:f>
      </x:c>
      <x:c r="K1244" s="88" t="str">
        <x:f>IF(C1244="","",MAX(0,SUMIFS(SONDERZAHLUNGEN!$E$9:$E$128,SONDERZAHLUNGEN!$B$9:$B$128,C1244,SONDERZAHLUNGEN!$C$9:$C$128,A1244,SONDERZAHLUNGEN!$H$9:$H$128,"OK",SONDERZAHLUNGEN!$F$9:$F$128,"Ja")-G1244))</x:f>
      </x:c>
    </x:row>
    <x:row r="1245" ht="19" customHeight="1">
      <x:c r="A1245" s="90" t="n">
        <x:f>MONATSBUDGET!$A$69</x:f>
        <x:v>48092</x:v>
      </x:c>
      <x:c r="B1245" t="n">
        <x:f>6</x:f>
        <x:v>6</x:v>
      </x:c>
      <x:c r="C1245" t="str">
        <x:f>IF($N$14="","",$N$14)</x:f>
      </x:c>
      <x:c r="D1245" s="88" t="str">
        <x:f>IF(C1245="","",I1225)</x:f>
      </x:c>
      <x:c r="E1245" s="88" t="str">
        <x:f>IF(C1245="","",ROUND(D1245*$P$14/12,2))</x:f>
      </x:c>
      <x:c r="F1245" s="88" t="str">
        <x:f>IF(C1245="","",MIN(D1245+E1245,$Q$14))</x:f>
      </x:c>
      <x:c r="G1245" s="88" t="str">
        <x:f>IF(C1245="","",MIN(MAX(0,D1245+E1245-F1245),SUMIFS(SONDERZAHLUNGEN!$E$9:$E$128,SONDERZAHLUNGEN!$B$9:$B$128,C1245,SONDERZAHLUNGEN!$C$9:$C$128,A1245,SONDERZAHLUNGEN!$H$9:$H$128,"OK",SONDERZAHLUNGEN!$F$9:$F$128,"Ja")))</x:f>
      </x:c>
      <x:c r="H1245" s="88" t="str">
        <x:f>IF(C1245="","",MIN(MAX(0,D1245+E1245-F1245-G1245),MAX(0,IF(MONATSBUDGET!$C$69="",0,MONATSBUDGET!$C$69)-SUM(F1240:F1259)-SUM(H1240:H1244))))</x:f>
      </x:c>
      <x:c r="I1245" s="88" t="str">
        <x:f>IF(C1245="","",MAX(0,ROUND(D1245+E1245-F1245-G1245-H1245,2)))</x:f>
      </x:c>
      <x:c r="J1245" s="88" t="str">
        <x:f>IF(C1245="","",F1245+G1245+H1245)</x:f>
      </x:c>
      <x:c r="K1245" s="88" t="str">
        <x:f>IF(C1245="","",MAX(0,SUMIFS(SONDERZAHLUNGEN!$E$9:$E$128,SONDERZAHLUNGEN!$B$9:$B$128,C1245,SONDERZAHLUNGEN!$C$9:$C$128,A1245,SONDERZAHLUNGEN!$H$9:$H$128,"OK",SONDERZAHLUNGEN!$F$9:$F$128,"Ja")-G1245))</x:f>
      </x:c>
    </x:row>
    <x:row r="1246" ht="19" customHeight="1">
      <x:c r="A1246" s="90" t="n">
        <x:f>MONATSBUDGET!$A$69</x:f>
        <x:v>48092</x:v>
      </x:c>
      <x:c r="B1246" t="n">
        <x:f>7</x:f>
        <x:v>7</x:v>
      </x:c>
      <x:c r="C1246" t="str">
        <x:f>IF($N$15="","",$N$15)</x:f>
      </x:c>
      <x:c r="D1246" s="88" t="str">
        <x:f>IF(C1246="","",I1226)</x:f>
      </x:c>
      <x:c r="E1246" s="88" t="str">
        <x:f>IF(C1246="","",ROUND(D1246*$P$15/12,2))</x:f>
      </x:c>
      <x:c r="F1246" s="88" t="str">
        <x:f>IF(C1246="","",MIN(D1246+E1246,$Q$15))</x:f>
      </x:c>
      <x:c r="G1246" s="88" t="str">
        <x:f>IF(C1246="","",MIN(MAX(0,D1246+E1246-F1246),SUMIFS(SONDERZAHLUNGEN!$E$9:$E$128,SONDERZAHLUNGEN!$B$9:$B$128,C1246,SONDERZAHLUNGEN!$C$9:$C$128,A1246,SONDERZAHLUNGEN!$H$9:$H$128,"OK",SONDERZAHLUNGEN!$F$9:$F$128,"Ja")))</x:f>
      </x:c>
      <x:c r="H1246" s="88" t="str">
        <x:f>IF(C1246="","",MIN(MAX(0,D1246+E1246-F1246-G1246),MAX(0,IF(MONATSBUDGET!$C$69="",0,MONATSBUDGET!$C$69)-SUM(F1240:F1259)-SUM(H1240:H1245))))</x:f>
      </x:c>
      <x:c r="I1246" s="88" t="str">
        <x:f>IF(C1246="","",MAX(0,ROUND(D1246+E1246-F1246-G1246-H1246,2)))</x:f>
      </x:c>
      <x:c r="J1246" s="88" t="str">
        <x:f>IF(C1246="","",F1246+G1246+H1246)</x:f>
      </x:c>
      <x:c r="K1246" s="88" t="str">
        <x:f>IF(C1246="","",MAX(0,SUMIFS(SONDERZAHLUNGEN!$E$9:$E$128,SONDERZAHLUNGEN!$B$9:$B$128,C1246,SONDERZAHLUNGEN!$C$9:$C$128,A1246,SONDERZAHLUNGEN!$H$9:$H$128,"OK",SONDERZAHLUNGEN!$F$9:$F$128,"Ja")-G1246))</x:f>
      </x:c>
    </x:row>
    <x:row r="1247" ht="19" customHeight="1">
      <x:c r="A1247" s="90" t="n">
        <x:f>MONATSBUDGET!$A$69</x:f>
        <x:v>48092</x:v>
      </x:c>
      <x:c r="B1247" t="n">
        <x:f>8</x:f>
        <x:v>8</x:v>
      </x:c>
      <x:c r="C1247" t="str">
        <x:f>IF($N$16="","",$N$16)</x:f>
      </x:c>
      <x:c r="D1247" s="88" t="str">
        <x:f>IF(C1247="","",I1227)</x:f>
      </x:c>
      <x:c r="E1247" s="88" t="str">
        <x:f>IF(C1247="","",ROUND(D1247*$P$16/12,2))</x:f>
      </x:c>
      <x:c r="F1247" s="88" t="str">
        <x:f>IF(C1247="","",MIN(D1247+E1247,$Q$16))</x:f>
      </x:c>
      <x:c r="G1247" s="88" t="str">
        <x:f>IF(C1247="","",MIN(MAX(0,D1247+E1247-F1247),SUMIFS(SONDERZAHLUNGEN!$E$9:$E$128,SONDERZAHLUNGEN!$B$9:$B$128,C1247,SONDERZAHLUNGEN!$C$9:$C$128,A1247,SONDERZAHLUNGEN!$H$9:$H$128,"OK",SONDERZAHLUNGEN!$F$9:$F$128,"Ja")))</x:f>
      </x:c>
      <x:c r="H1247" s="88" t="str">
        <x:f>IF(C1247="","",MIN(MAX(0,D1247+E1247-F1247-G1247),MAX(0,IF(MONATSBUDGET!$C$69="",0,MONATSBUDGET!$C$69)-SUM(F1240:F1259)-SUM(H1240:H1246))))</x:f>
      </x:c>
      <x:c r="I1247" s="88" t="str">
        <x:f>IF(C1247="","",MAX(0,ROUND(D1247+E1247-F1247-G1247-H1247,2)))</x:f>
      </x:c>
      <x:c r="J1247" s="88" t="str">
        <x:f>IF(C1247="","",F1247+G1247+H1247)</x:f>
      </x:c>
      <x:c r="K1247" s="88" t="str">
        <x:f>IF(C1247="","",MAX(0,SUMIFS(SONDERZAHLUNGEN!$E$9:$E$128,SONDERZAHLUNGEN!$B$9:$B$128,C1247,SONDERZAHLUNGEN!$C$9:$C$128,A1247,SONDERZAHLUNGEN!$H$9:$H$128,"OK",SONDERZAHLUNGEN!$F$9:$F$128,"Ja")-G1247))</x:f>
      </x:c>
    </x:row>
    <x:row r="1248" ht="19" customHeight="1">
      <x:c r="A1248" s="90" t="n">
        <x:f>MONATSBUDGET!$A$69</x:f>
        <x:v>48092</x:v>
      </x:c>
      <x:c r="B1248" t="n">
        <x:f>9</x:f>
        <x:v>9</x:v>
      </x:c>
      <x:c r="C1248" t="str">
        <x:f>IF($N$17="","",$N$17)</x:f>
      </x:c>
      <x:c r="D1248" s="88" t="str">
        <x:f>IF(C1248="","",I1228)</x:f>
      </x:c>
      <x:c r="E1248" s="88" t="str">
        <x:f>IF(C1248="","",ROUND(D1248*$P$17/12,2))</x:f>
      </x:c>
      <x:c r="F1248" s="88" t="str">
        <x:f>IF(C1248="","",MIN(D1248+E1248,$Q$17))</x:f>
      </x:c>
      <x:c r="G1248" s="88" t="str">
        <x:f>IF(C1248="","",MIN(MAX(0,D1248+E1248-F1248),SUMIFS(SONDERZAHLUNGEN!$E$9:$E$128,SONDERZAHLUNGEN!$B$9:$B$128,C1248,SONDERZAHLUNGEN!$C$9:$C$128,A1248,SONDERZAHLUNGEN!$H$9:$H$128,"OK",SONDERZAHLUNGEN!$F$9:$F$128,"Ja")))</x:f>
      </x:c>
      <x:c r="H1248" s="88" t="str">
        <x:f>IF(C1248="","",MIN(MAX(0,D1248+E1248-F1248-G1248),MAX(0,IF(MONATSBUDGET!$C$69="",0,MONATSBUDGET!$C$69)-SUM(F1240:F1259)-SUM(H1240:H1247))))</x:f>
      </x:c>
      <x:c r="I1248" s="88" t="str">
        <x:f>IF(C1248="","",MAX(0,ROUND(D1248+E1248-F1248-G1248-H1248,2)))</x:f>
      </x:c>
      <x:c r="J1248" s="88" t="str">
        <x:f>IF(C1248="","",F1248+G1248+H1248)</x:f>
      </x:c>
      <x:c r="K1248" s="88" t="str">
        <x:f>IF(C1248="","",MAX(0,SUMIFS(SONDERZAHLUNGEN!$E$9:$E$128,SONDERZAHLUNGEN!$B$9:$B$128,C1248,SONDERZAHLUNGEN!$C$9:$C$128,A1248,SONDERZAHLUNGEN!$H$9:$H$128,"OK",SONDERZAHLUNGEN!$F$9:$F$128,"Ja")-G1248))</x:f>
      </x:c>
    </x:row>
    <x:row r="1249" ht="19" customHeight="1">
      <x:c r="A1249" s="90" t="n">
        <x:f>MONATSBUDGET!$A$69</x:f>
        <x:v>48092</x:v>
      </x:c>
      <x:c r="B1249" t="n">
        <x:f>10</x:f>
        <x:v>10</x:v>
      </x:c>
      <x:c r="C1249" t="str">
        <x:f>IF($N$18="","",$N$18)</x:f>
      </x:c>
      <x:c r="D1249" s="88" t="str">
        <x:f>IF(C1249="","",I1229)</x:f>
      </x:c>
      <x:c r="E1249" s="88" t="str">
        <x:f>IF(C1249="","",ROUND(D1249*$P$18/12,2))</x:f>
      </x:c>
      <x:c r="F1249" s="88" t="str">
        <x:f>IF(C1249="","",MIN(D1249+E1249,$Q$18))</x:f>
      </x:c>
      <x:c r="G1249" s="88" t="str">
        <x:f>IF(C1249="","",MIN(MAX(0,D1249+E1249-F1249),SUMIFS(SONDERZAHLUNGEN!$E$9:$E$128,SONDERZAHLUNGEN!$B$9:$B$128,C1249,SONDERZAHLUNGEN!$C$9:$C$128,A1249,SONDERZAHLUNGEN!$H$9:$H$128,"OK",SONDERZAHLUNGEN!$F$9:$F$128,"Ja")))</x:f>
      </x:c>
      <x:c r="H1249" s="88" t="str">
        <x:f>IF(C1249="","",MIN(MAX(0,D1249+E1249-F1249-G1249),MAX(0,IF(MONATSBUDGET!$C$69="",0,MONATSBUDGET!$C$69)-SUM(F1240:F1259)-SUM(H1240:H1248))))</x:f>
      </x:c>
      <x:c r="I1249" s="88" t="str">
        <x:f>IF(C1249="","",MAX(0,ROUND(D1249+E1249-F1249-G1249-H1249,2)))</x:f>
      </x:c>
      <x:c r="J1249" s="88" t="str">
        <x:f>IF(C1249="","",F1249+G1249+H1249)</x:f>
      </x:c>
      <x:c r="K1249" s="88" t="str">
        <x:f>IF(C1249="","",MAX(0,SUMIFS(SONDERZAHLUNGEN!$E$9:$E$128,SONDERZAHLUNGEN!$B$9:$B$128,C1249,SONDERZAHLUNGEN!$C$9:$C$128,A1249,SONDERZAHLUNGEN!$H$9:$H$128,"OK",SONDERZAHLUNGEN!$F$9:$F$128,"Ja")-G1249))</x:f>
      </x:c>
    </x:row>
    <x:row r="1250" ht="19" customHeight="1">
      <x:c r="A1250" s="90" t="n">
        <x:f>MONATSBUDGET!$A$69</x:f>
        <x:v>48092</x:v>
      </x:c>
      <x:c r="B1250" t="n">
        <x:f>11</x:f>
        <x:v>11</x:v>
      </x:c>
      <x:c r="C1250" t="str">
        <x:f>IF($N$19="","",$N$19)</x:f>
      </x:c>
      <x:c r="D1250" s="88" t="str">
        <x:f>IF(C1250="","",I1230)</x:f>
      </x:c>
      <x:c r="E1250" s="88" t="str">
        <x:f>IF(C1250="","",ROUND(D1250*$P$19/12,2))</x:f>
      </x:c>
      <x:c r="F1250" s="88" t="str">
        <x:f>IF(C1250="","",MIN(D1250+E1250,$Q$19))</x:f>
      </x:c>
      <x:c r="G1250" s="88" t="str">
        <x:f>IF(C1250="","",MIN(MAX(0,D1250+E1250-F1250),SUMIFS(SONDERZAHLUNGEN!$E$9:$E$128,SONDERZAHLUNGEN!$B$9:$B$128,C1250,SONDERZAHLUNGEN!$C$9:$C$128,A1250,SONDERZAHLUNGEN!$H$9:$H$128,"OK",SONDERZAHLUNGEN!$F$9:$F$128,"Ja")))</x:f>
      </x:c>
      <x:c r="H1250" s="88" t="str">
        <x:f>IF(C1250="","",MIN(MAX(0,D1250+E1250-F1250-G1250),MAX(0,IF(MONATSBUDGET!$C$69="",0,MONATSBUDGET!$C$69)-SUM(F1240:F1259)-SUM(H1240:H1249))))</x:f>
      </x:c>
      <x:c r="I1250" s="88" t="str">
        <x:f>IF(C1250="","",MAX(0,ROUND(D1250+E1250-F1250-G1250-H1250,2)))</x:f>
      </x:c>
      <x:c r="J1250" s="88" t="str">
        <x:f>IF(C1250="","",F1250+G1250+H1250)</x:f>
      </x:c>
      <x:c r="K1250" s="88" t="str">
        <x:f>IF(C1250="","",MAX(0,SUMIFS(SONDERZAHLUNGEN!$E$9:$E$128,SONDERZAHLUNGEN!$B$9:$B$128,C1250,SONDERZAHLUNGEN!$C$9:$C$128,A1250,SONDERZAHLUNGEN!$H$9:$H$128,"OK",SONDERZAHLUNGEN!$F$9:$F$128,"Ja")-G1250))</x:f>
      </x:c>
    </x:row>
    <x:row r="1251" ht="19" customHeight="1">
      <x:c r="A1251" s="90" t="n">
        <x:f>MONATSBUDGET!$A$69</x:f>
        <x:v>48092</x:v>
      </x:c>
      <x:c r="B1251" t="n">
        <x:f>12</x:f>
        <x:v>12</x:v>
      </x:c>
      <x:c r="C1251" t="str">
        <x:f>IF($N$20="","",$N$20)</x:f>
      </x:c>
      <x:c r="D1251" s="88" t="str">
        <x:f>IF(C1251="","",I1231)</x:f>
      </x:c>
      <x:c r="E1251" s="88" t="str">
        <x:f>IF(C1251="","",ROUND(D1251*$P$20/12,2))</x:f>
      </x:c>
      <x:c r="F1251" s="88" t="str">
        <x:f>IF(C1251="","",MIN(D1251+E1251,$Q$20))</x:f>
      </x:c>
      <x:c r="G1251" s="88" t="str">
        <x:f>IF(C1251="","",MIN(MAX(0,D1251+E1251-F1251),SUMIFS(SONDERZAHLUNGEN!$E$9:$E$128,SONDERZAHLUNGEN!$B$9:$B$128,C1251,SONDERZAHLUNGEN!$C$9:$C$128,A1251,SONDERZAHLUNGEN!$H$9:$H$128,"OK",SONDERZAHLUNGEN!$F$9:$F$128,"Ja")))</x:f>
      </x:c>
      <x:c r="H1251" s="88" t="str">
        <x:f>IF(C1251="","",MIN(MAX(0,D1251+E1251-F1251-G1251),MAX(0,IF(MONATSBUDGET!$C$69="",0,MONATSBUDGET!$C$69)-SUM(F1240:F1259)-SUM(H1240:H1250))))</x:f>
      </x:c>
      <x:c r="I1251" s="88" t="str">
        <x:f>IF(C1251="","",MAX(0,ROUND(D1251+E1251-F1251-G1251-H1251,2)))</x:f>
      </x:c>
      <x:c r="J1251" s="88" t="str">
        <x:f>IF(C1251="","",F1251+G1251+H1251)</x:f>
      </x:c>
      <x:c r="K1251" s="88" t="str">
        <x:f>IF(C1251="","",MAX(0,SUMIFS(SONDERZAHLUNGEN!$E$9:$E$128,SONDERZAHLUNGEN!$B$9:$B$128,C1251,SONDERZAHLUNGEN!$C$9:$C$128,A1251,SONDERZAHLUNGEN!$H$9:$H$128,"OK",SONDERZAHLUNGEN!$F$9:$F$128,"Ja")-G1251))</x:f>
      </x:c>
    </x:row>
    <x:row r="1252" ht="19" customHeight="1">
      <x:c r="A1252" s="90" t="n">
        <x:f>MONATSBUDGET!$A$69</x:f>
        <x:v>48092</x:v>
      </x:c>
      <x:c r="B1252" t="n">
        <x:f>13</x:f>
        <x:v>13</x:v>
      </x:c>
      <x:c r="C1252" t="str">
        <x:f>IF($N$21="","",$N$21)</x:f>
      </x:c>
      <x:c r="D1252" s="88" t="str">
        <x:f>IF(C1252="","",I1232)</x:f>
      </x:c>
      <x:c r="E1252" s="88" t="str">
        <x:f>IF(C1252="","",ROUND(D1252*$P$21/12,2))</x:f>
      </x:c>
      <x:c r="F1252" s="88" t="str">
        <x:f>IF(C1252="","",MIN(D1252+E1252,$Q$21))</x:f>
      </x:c>
      <x:c r="G1252" s="88" t="str">
        <x:f>IF(C1252="","",MIN(MAX(0,D1252+E1252-F1252),SUMIFS(SONDERZAHLUNGEN!$E$9:$E$128,SONDERZAHLUNGEN!$B$9:$B$128,C1252,SONDERZAHLUNGEN!$C$9:$C$128,A1252,SONDERZAHLUNGEN!$H$9:$H$128,"OK",SONDERZAHLUNGEN!$F$9:$F$128,"Ja")))</x:f>
      </x:c>
      <x:c r="H1252" s="88" t="str">
        <x:f>IF(C1252="","",MIN(MAX(0,D1252+E1252-F1252-G1252),MAX(0,IF(MONATSBUDGET!$C$69="",0,MONATSBUDGET!$C$69)-SUM(F1240:F1259)-SUM(H1240:H1251))))</x:f>
      </x:c>
      <x:c r="I1252" s="88" t="str">
        <x:f>IF(C1252="","",MAX(0,ROUND(D1252+E1252-F1252-G1252-H1252,2)))</x:f>
      </x:c>
      <x:c r="J1252" s="88" t="str">
        <x:f>IF(C1252="","",F1252+G1252+H1252)</x:f>
      </x:c>
      <x:c r="K1252" s="88" t="str">
        <x:f>IF(C1252="","",MAX(0,SUMIFS(SONDERZAHLUNGEN!$E$9:$E$128,SONDERZAHLUNGEN!$B$9:$B$128,C1252,SONDERZAHLUNGEN!$C$9:$C$128,A1252,SONDERZAHLUNGEN!$H$9:$H$128,"OK",SONDERZAHLUNGEN!$F$9:$F$128,"Ja")-G1252))</x:f>
      </x:c>
    </x:row>
    <x:row r="1253" ht="19" customHeight="1">
      <x:c r="A1253" s="90" t="n">
        <x:f>MONATSBUDGET!$A$69</x:f>
        <x:v>48092</x:v>
      </x:c>
      <x:c r="B1253" t="n">
        <x:f>14</x:f>
        <x:v>14</x:v>
      </x:c>
      <x:c r="C1253" t="str">
        <x:f>IF($N$22="","",$N$22)</x:f>
      </x:c>
      <x:c r="D1253" s="88" t="str">
        <x:f>IF(C1253="","",I1233)</x:f>
      </x:c>
      <x:c r="E1253" s="88" t="str">
        <x:f>IF(C1253="","",ROUND(D1253*$P$22/12,2))</x:f>
      </x:c>
      <x:c r="F1253" s="88" t="str">
        <x:f>IF(C1253="","",MIN(D1253+E1253,$Q$22))</x:f>
      </x:c>
      <x:c r="G1253" s="88" t="str">
        <x:f>IF(C1253="","",MIN(MAX(0,D1253+E1253-F1253),SUMIFS(SONDERZAHLUNGEN!$E$9:$E$128,SONDERZAHLUNGEN!$B$9:$B$128,C1253,SONDERZAHLUNGEN!$C$9:$C$128,A1253,SONDERZAHLUNGEN!$H$9:$H$128,"OK",SONDERZAHLUNGEN!$F$9:$F$128,"Ja")))</x:f>
      </x:c>
      <x:c r="H1253" s="88" t="str">
        <x:f>IF(C1253="","",MIN(MAX(0,D1253+E1253-F1253-G1253),MAX(0,IF(MONATSBUDGET!$C$69="",0,MONATSBUDGET!$C$69)-SUM(F1240:F1259)-SUM(H1240:H1252))))</x:f>
      </x:c>
      <x:c r="I1253" s="88" t="str">
        <x:f>IF(C1253="","",MAX(0,ROUND(D1253+E1253-F1253-G1253-H1253,2)))</x:f>
      </x:c>
      <x:c r="J1253" s="88" t="str">
        <x:f>IF(C1253="","",F1253+G1253+H1253)</x:f>
      </x:c>
      <x:c r="K1253" s="88" t="str">
        <x:f>IF(C1253="","",MAX(0,SUMIFS(SONDERZAHLUNGEN!$E$9:$E$128,SONDERZAHLUNGEN!$B$9:$B$128,C1253,SONDERZAHLUNGEN!$C$9:$C$128,A1253,SONDERZAHLUNGEN!$H$9:$H$128,"OK",SONDERZAHLUNGEN!$F$9:$F$128,"Ja")-G1253))</x:f>
      </x:c>
    </x:row>
    <x:row r="1254" ht="19" customHeight="1">
      <x:c r="A1254" s="90" t="n">
        <x:f>MONATSBUDGET!$A$69</x:f>
        <x:v>48092</x:v>
      </x:c>
      <x:c r="B1254" t="n">
        <x:f>15</x:f>
        <x:v>15</x:v>
      </x:c>
      <x:c r="C1254" t="str">
        <x:f>IF($N$23="","",$N$23)</x:f>
      </x:c>
      <x:c r="D1254" s="88" t="str">
        <x:f>IF(C1254="","",I1234)</x:f>
      </x:c>
      <x:c r="E1254" s="88" t="str">
        <x:f>IF(C1254="","",ROUND(D1254*$P$23/12,2))</x:f>
      </x:c>
      <x:c r="F1254" s="88" t="str">
        <x:f>IF(C1254="","",MIN(D1254+E1254,$Q$23))</x:f>
      </x:c>
      <x:c r="G1254" s="88" t="str">
        <x:f>IF(C1254="","",MIN(MAX(0,D1254+E1254-F1254),SUMIFS(SONDERZAHLUNGEN!$E$9:$E$128,SONDERZAHLUNGEN!$B$9:$B$128,C1254,SONDERZAHLUNGEN!$C$9:$C$128,A1254,SONDERZAHLUNGEN!$H$9:$H$128,"OK",SONDERZAHLUNGEN!$F$9:$F$128,"Ja")))</x:f>
      </x:c>
      <x:c r="H1254" s="88" t="str">
        <x:f>IF(C1254="","",MIN(MAX(0,D1254+E1254-F1254-G1254),MAX(0,IF(MONATSBUDGET!$C$69="",0,MONATSBUDGET!$C$69)-SUM(F1240:F1259)-SUM(H1240:H1253))))</x:f>
      </x:c>
      <x:c r="I1254" s="88" t="str">
        <x:f>IF(C1254="","",MAX(0,ROUND(D1254+E1254-F1254-G1254-H1254,2)))</x:f>
      </x:c>
      <x:c r="J1254" s="88" t="str">
        <x:f>IF(C1254="","",F1254+G1254+H1254)</x:f>
      </x:c>
      <x:c r="K1254" s="88" t="str">
        <x:f>IF(C1254="","",MAX(0,SUMIFS(SONDERZAHLUNGEN!$E$9:$E$128,SONDERZAHLUNGEN!$B$9:$B$128,C1254,SONDERZAHLUNGEN!$C$9:$C$128,A1254,SONDERZAHLUNGEN!$H$9:$H$128,"OK",SONDERZAHLUNGEN!$F$9:$F$128,"Ja")-G1254))</x:f>
      </x:c>
    </x:row>
    <x:row r="1255" ht="19" customHeight="1">
      <x:c r="A1255" s="90" t="n">
        <x:f>MONATSBUDGET!$A$69</x:f>
        <x:v>48092</x:v>
      </x:c>
      <x:c r="B1255" t="n">
        <x:f>16</x:f>
        <x:v>16</x:v>
      </x:c>
      <x:c r="C1255" t="str">
        <x:f>IF($N$24="","",$N$24)</x:f>
      </x:c>
      <x:c r="D1255" s="88" t="str">
        <x:f>IF(C1255="","",I1235)</x:f>
      </x:c>
      <x:c r="E1255" s="88" t="str">
        <x:f>IF(C1255="","",ROUND(D1255*$P$24/12,2))</x:f>
      </x:c>
      <x:c r="F1255" s="88" t="str">
        <x:f>IF(C1255="","",MIN(D1255+E1255,$Q$24))</x:f>
      </x:c>
      <x:c r="G1255" s="88" t="str">
        <x:f>IF(C1255="","",MIN(MAX(0,D1255+E1255-F1255),SUMIFS(SONDERZAHLUNGEN!$E$9:$E$128,SONDERZAHLUNGEN!$B$9:$B$128,C1255,SONDERZAHLUNGEN!$C$9:$C$128,A1255,SONDERZAHLUNGEN!$H$9:$H$128,"OK",SONDERZAHLUNGEN!$F$9:$F$128,"Ja")))</x:f>
      </x:c>
      <x:c r="H1255" s="88" t="str">
        <x:f>IF(C1255="","",MIN(MAX(0,D1255+E1255-F1255-G1255),MAX(0,IF(MONATSBUDGET!$C$69="",0,MONATSBUDGET!$C$69)-SUM(F1240:F1259)-SUM(H1240:H1254))))</x:f>
      </x:c>
      <x:c r="I1255" s="88" t="str">
        <x:f>IF(C1255="","",MAX(0,ROUND(D1255+E1255-F1255-G1255-H1255,2)))</x:f>
      </x:c>
      <x:c r="J1255" s="88" t="str">
        <x:f>IF(C1255="","",F1255+G1255+H1255)</x:f>
      </x:c>
      <x:c r="K1255" s="88" t="str">
        <x:f>IF(C1255="","",MAX(0,SUMIFS(SONDERZAHLUNGEN!$E$9:$E$128,SONDERZAHLUNGEN!$B$9:$B$128,C1255,SONDERZAHLUNGEN!$C$9:$C$128,A1255,SONDERZAHLUNGEN!$H$9:$H$128,"OK",SONDERZAHLUNGEN!$F$9:$F$128,"Ja")-G1255))</x:f>
      </x:c>
    </x:row>
    <x:row r="1256" ht="19" customHeight="1">
      <x:c r="A1256" s="90" t="n">
        <x:f>MONATSBUDGET!$A$69</x:f>
        <x:v>48092</x:v>
      </x:c>
      <x:c r="B1256" t="n">
        <x:f>17</x:f>
        <x:v>17</x:v>
      </x:c>
      <x:c r="C1256" t="str">
        <x:f>IF($N$25="","",$N$25)</x:f>
      </x:c>
      <x:c r="D1256" s="88" t="str">
        <x:f>IF(C1256="","",I1236)</x:f>
      </x:c>
      <x:c r="E1256" s="88" t="str">
        <x:f>IF(C1256="","",ROUND(D1256*$P$25/12,2))</x:f>
      </x:c>
      <x:c r="F1256" s="88" t="str">
        <x:f>IF(C1256="","",MIN(D1256+E1256,$Q$25))</x:f>
      </x:c>
      <x:c r="G1256" s="88" t="str">
        <x:f>IF(C1256="","",MIN(MAX(0,D1256+E1256-F1256),SUMIFS(SONDERZAHLUNGEN!$E$9:$E$128,SONDERZAHLUNGEN!$B$9:$B$128,C1256,SONDERZAHLUNGEN!$C$9:$C$128,A1256,SONDERZAHLUNGEN!$H$9:$H$128,"OK",SONDERZAHLUNGEN!$F$9:$F$128,"Ja")))</x:f>
      </x:c>
      <x:c r="H1256" s="88" t="str">
        <x:f>IF(C1256="","",MIN(MAX(0,D1256+E1256-F1256-G1256),MAX(0,IF(MONATSBUDGET!$C$69="",0,MONATSBUDGET!$C$69)-SUM(F1240:F1259)-SUM(H1240:H1255))))</x:f>
      </x:c>
      <x:c r="I1256" s="88" t="str">
        <x:f>IF(C1256="","",MAX(0,ROUND(D1256+E1256-F1256-G1256-H1256,2)))</x:f>
      </x:c>
      <x:c r="J1256" s="88" t="str">
        <x:f>IF(C1256="","",F1256+G1256+H1256)</x:f>
      </x:c>
      <x:c r="K1256" s="88" t="str">
        <x:f>IF(C1256="","",MAX(0,SUMIFS(SONDERZAHLUNGEN!$E$9:$E$128,SONDERZAHLUNGEN!$B$9:$B$128,C1256,SONDERZAHLUNGEN!$C$9:$C$128,A1256,SONDERZAHLUNGEN!$H$9:$H$128,"OK",SONDERZAHLUNGEN!$F$9:$F$128,"Ja")-G1256))</x:f>
      </x:c>
    </x:row>
    <x:row r="1257" ht="19" customHeight="1">
      <x:c r="A1257" s="90" t="n">
        <x:f>MONATSBUDGET!$A$69</x:f>
        <x:v>48092</x:v>
      </x:c>
      <x:c r="B1257" t="n">
        <x:f>18</x:f>
        <x:v>18</x:v>
      </x:c>
      <x:c r="C1257" t="str">
        <x:f>IF($N$26="","",$N$26)</x:f>
      </x:c>
      <x:c r="D1257" s="88" t="str">
        <x:f>IF(C1257="","",I1237)</x:f>
      </x:c>
      <x:c r="E1257" s="88" t="str">
        <x:f>IF(C1257="","",ROUND(D1257*$P$26/12,2))</x:f>
      </x:c>
      <x:c r="F1257" s="88" t="str">
        <x:f>IF(C1257="","",MIN(D1257+E1257,$Q$26))</x:f>
      </x:c>
      <x:c r="G1257" s="88" t="str">
        <x:f>IF(C1257="","",MIN(MAX(0,D1257+E1257-F1257),SUMIFS(SONDERZAHLUNGEN!$E$9:$E$128,SONDERZAHLUNGEN!$B$9:$B$128,C1257,SONDERZAHLUNGEN!$C$9:$C$128,A1257,SONDERZAHLUNGEN!$H$9:$H$128,"OK",SONDERZAHLUNGEN!$F$9:$F$128,"Ja")))</x:f>
      </x:c>
      <x:c r="H1257" s="88" t="str">
        <x:f>IF(C1257="","",MIN(MAX(0,D1257+E1257-F1257-G1257),MAX(0,IF(MONATSBUDGET!$C$69="",0,MONATSBUDGET!$C$69)-SUM(F1240:F1259)-SUM(H1240:H1256))))</x:f>
      </x:c>
      <x:c r="I1257" s="88" t="str">
        <x:f>IF(C1257="","",MAX(0,ROUND(D1257+E1257-F1257-G1257-H1257,2)))</x:f>
      </x:c>
      <x:c r="J1257" s="88" t="str">
        <x:f>IF(C1257="","",F1257+G1257+H1257)</x:f>
      </x:c>
      <x:c r="K1257" s="88" t="str">
        <x:f>IF(C1257="","",MAX(0,SUMIFS(SONDERZAHLUNGEN!$E$9:$E$128,SONDERZAHLUNGEN!$B$9:$B$128,C1257,SONDERZAHLUNGEN!$C$9:$C$128,A1257,SONDERZAHLUNGEN!$H$9:$H$128,"OK",SONDERZAHLUNGEN!$F$9:$F$128,"Ja")-G1257))</x:f>
      </x:c>
    </x:row>
    <x:row r="1258" ht="19" customHeight="1">
      <x:c r="A1258" s="90" t="n">
        <x:f>MONATSBUDGET!$A$69</x:f>
        <x:v>48092</x:v>
      </x:c>
      <x:c r="B1258" t="n">
        <x:f>19</x:f>
        <x:v>19</x:v>
      </x:c>
      <x:c r="C1258" t="str">
        <x:f>IF($N$27="","",$N$27)</x:f>
      </x:c>
      <x:c r="D1258" s="88" t="str">
        <x:f>IF(C1258="","",I1238)</x:f>
      </x:c>
      <x:c r="E1258" s="88" t="str">
        <x:f>IF(C1258="","",ROUND(D1258*$P$27/12,2))</x:f>
      </x:c>
      <x:c r="F1258" s="88" t="str">
        <x:f>IF(C1258="","",MIN(D1258+E1258,$Q$27))</x:f>
      </x:c>
      <x:c r="G1258" s="88" t="str">
        <x:f>IF(C1258="","",MIN(MAX(0,D1258+E1258-F1258),SUMIFS(SONDERZAHLUNGEN!$E$9:$E$128,SONDERZAHLUNGEN!$B$9:$B$128,C1258,SONDERZAHLUNGEN!$C$9:$C$128,A1258,SONDERZAHLUNGEN!$H$9:$H$128,"OK",SONDERZAHLUNGEN!$F$9:$F$128,"Ja")))</x:f>
      </x:c>
      <x:c r="H1258" s="88" t="str">
        <x:f>IF(C1258="","",MIN(MAX(0,D1258+E1258-F1258-G1258),MAX(0,IF(MONATSBUDGET!$C$69="",0,MONATSBUDGET!$C$69)-SUM(F1240:F1259)-SUM(H1240:H1257))))</x:f>
      </x:c>
      <x:c r="I1258" s="88" t="str">
        <x:f>IF(C1258="","",MAX(0,ROUND(D1258+E1258-F1258-G1258-H1258,2)))</x:f>
      </x:c>
      <x:c r="J1258" s="88" t="str">
        <x:f>IF(C1258="","",F1258+G1258+H1258)</x:f>
      </x:c>
      <x:c r="K1258" s="88" t="str">
        <x:f>IF(C1258="","",MAX(0,SUMIFS(SONDERZAHLUNGEN!$E$9:$E$128,SONDERZAHLUNGEN!$B$9:$B$128,C1258,SONDERZAHLUNGEN!$C$9:$C$128,A1258,SONDERZAHLUNGEN!$H$9:$H$128,"OK",SONDERZAHLUNGEN!$F$9:$F$128,"Ja")-G1258))</x:f>
      </x:c>
    </x:row>
    <x:row r="1259" ht="19" customHeight="1">
      <x:c r="A1259" s="90" t="n">
        <x:f>MONATSBUDGET!$A$69</x:f>
        <x:v>48092</x:v>
      </x:c>
      <x:c r="B1259" t="n">
        <x:f>20</x:f>
        <x:v>20</x:v>
      </x:c>
      <x:c r="C1259" t="str">
        <x:f>IF($N$28="","",$N$28)</x:f>
      </x:c>
      <x:c r="D1259" s="88" t="str">
        <x:f>IF(C1259="","",I1239)</x:f>
      </x:c>
      <x:c r="E1259" s="88" t="str">
        <x:f>IF(C1259="","",ROUND(D1259*$P$28/12,2))</x:f>
      </x:c>
      <x:c r="F1259" s="88" t="str">
        <x:f>IF(C1259="","",MIN(D1259+E1259,$Q$28))</x:f>
      </x:c>
      <x:c r="G1259" s="88" t="str">
        <x:f>IF(C1259="","",MIN(MAX(0,D1259+E1259-F1259),SUMIFS(SONDERZAHLUNGEN!$E$9:$E$128,SONDERZAHLUNGEN!$B$9:$B$128,C1259,SONDERZAHLUNGEN!$C$9:$C$128,A1259,SONDERZAHLUNGEN!$H$9:$H$128,"OK",SONDERZAHLUNGEN!$F$9:$F$128,"Ja")))</x:f>
      </x:c>
      <x:c r="H1259" s="88" t="str">
        <x:f>IF(C1259="","",MIN(MAX(0,D1259+E1259-F1259-G1259),MAX(0,IF(MONATSBUDGET!$C$69="",0,MONATSBUDGET!$C$69)-SUM(F1240:F1259)-SUM(H1240:H1258))))</x:f>
      </x:c>
      <x:c r="I1259" s="88" t="str">
        <x:f>IF(C1259="","",MAX(0,ROUND(D1259+E1259-F1259-G1259-H1259,2)))</x:f>
      </x:c>
      <x:c r="J1259" s="88" t="str">
        <x:f>IF(C1259="","",F1259+G1259+H1259)</x:f>
      </x:c>
      <x:c r="K1259" s="88" t="str">
        <x:f>IF(C1259="","",MAX(0,SUMIFS(SONDERZAHLUNGEN!$E$9:$E$128,SONDERZAHLUNGEN!$B$9:$B$128,C1259,SONDERZAHLUNGEN!$C$9:$C$128,A1259,SONDERZAHLUNGEN!$H$9:$H$128,"OK",SONDERZAHLUNGEN!$F$9:$F$128,"Ja")-G1259))</x:f>
      </x:c>
    </x:row>
    <x:row r="1260" ht="19" customHeight="1">
      <x:c r="A1260" s="90" t="n">
        <x:f>MONATSBUDGET!$A$70</x:f>
        <x:v>48122</x:v>
      </x:c>
      <x:c r="B1260" t="n">
        <x:f>1</x:f>
        <x:v>1</x:v>
      </x:c>
      <x:c r="C1260" t="str">
        <x:f>IF($N$9="","",$N$9)</x:f>
      </x:c>
      <x:c r="D1260" s="88" t="str">
        <x:f>IF(C1260="","",I1240)</x:f>
      </x:c>
      <x:c r="E1260" s="88" t="str">
        <x:f>IF(C1260="","",ROUND(D1260*$P$9/12,2))</x:f>
      </x:c>
      <x:c r="F1260" s="88" t="str">
        <x:f>IF(C1260="","",MIN(D1260+E1260,$Q$9))</x:f>
      </x:c>
      <x:c r="G1260" s="88" t="str">
        <x:f>IF(C1260="","",MIN(MAX(0,D1260+E1260-F1260),SUMIFS(SONDERZAHLUNGEN!$E$9:$E$128,SONDERZAHLUNGEN!$B$9:$B$128,C1260,SONDERZAHLUNGEN!$C$9:$C$128,A1260,SONDERZAHLUNGEN!$H$9:$H$128,"OK",SONDERZAHLUNGEN!$F$9:$F$128,"Ja")))</x:f>
      </x:c>
      <x:c r="H1260" s="88" t="str">
        <x:f>IF(C1260="","",MIN(MAX(0,D1260+E1260-F1260-G1260),MAX(0,IF(MONATSBUDGET!$C$70="",0,MONATSBUDGET!$C$70)-SUM(F1260:F1279)-0)))</x:f>
      </x:c>
      <x:c r="I1260" s="88" t="str">
        <x:f>IF(C1260="","",MAX(0,ROUND(D1260+E1260-F1260-G1260-H1260,2)))</x:f>
      </x:c>
      <x:c r="J1260" s="88" t="str">
        <x:f>IF(C1260="","",F1260+G1260+H1260)</x:f>
      </x:c>
      <x:c r="K1260" s="88" t="str">
        <x:f>IF(C1260="","",MAX(0,SUMIFS(SONDERZAHLUNGEN!$E$9:$E$128,SONDERZAHLUNGEN!$B$9:$B$128,C1260,SONDERZAHLUNGEN!$C$9:$C$128,A1260,SONDERZAHLUNGEN!$H$9:$H$128,"OK",SONDERZAHLUNGEN!$F$9:$F$128,"Ja")-G1260))</x:f>
      </x:c>
    </x:row>
    <x:row r="1261" ht="19" customHeight="1">
      <x:c r="A1261" s="90" t="n">
        <x:f>MONATSBUDGET!$A$70</x:f>
        <x:v>48122</x:v>
      </x:c>
      <x:c r="B1261" t="n">
        <x:f>2</x:f>
        <x:v>2</x:v>
      </x:c>
      <x:c r="C1261" t="str">
        <x:f>IF($N$10="","",$N$10)</x:f>
      </x:c>
      <x:c r="D1261" s="88" t="str">
        <x:f>IF(C1261="","",I1241)</x:f>
      </x:c>
      <x:c r="E1261" s="88" t="str">
        <x:f>IF(C1261="","",ROUND(D1261*$P$10/12,2))</x:f>
      </x:c>
      <x:c r="F1261" s="88" t="str">
        <x:f>IF(C1261="","",MIN(D1261+E1261,$Q$10))</x:f>
      </x:c>
      <x:c r="G1261" s="88" t="str">
        <x:f>IF(C1261="","",MIN(MAX(0,D1261+E1261-F1261),SUMIFS(SONDERZAHLUNGEN!$E$9:$E$128,SONDERZAHLUNGEN!$B$9:$B$128,C1261,SONDERZAHLUNGEN!$C$9:$C$128,A1261,SONDERZAHLUNGEN!$H$9:$H$128,"OK",SONDERZAHLUNGEN!$F$9:$F$128,"Ja")))</x:f>
      </x:c>
      <x:c r="H1261" s="88" t="str">
        <x:f>IF(C1261="","",MIN(MAX(0,D1261+E1261-F1261-G1261),MAX(0,IF(MONATSBUDGET!$C$70="",0,MONATSBUDGET!$C$70)-SUM(F1260:F1279)-SUM(H1260:H1260))))</x:f>
      </x:c>
      <x:c r="I1261" s="88" t="str">
        <x:f>IF(C1261="","",MAX(0,ROUND(D1261+E1261-F1261-G1261-H1261,2)))</x:f>
      </x:c>
      <x:c r="J1261" s="88" t="str">
        <x:f>IF(C1261="","",F1261+G1261+H1261)</x:f>
      </x:c>
      <x:c r="K1261" s="88" t="str">
        <x:f>IF(C1261="","",MAX(0,SUMIFS(SONDERZAHLUNGEN!$E$9:$E$128,SONDERZAHLUNGEN!$B$9:$B$128,C1261,SONDERZAHLUNGEN!$C$9:$C$128,A1261,SONDERZAHLUNGEN!$H$9:$H$128,"OK",SONDERZAHLUNGEN!$F$9:$F$128,"Ja")-G1261))</x:f>
      </x:c>
    </x:row>
    <x:row r="1262" ht="19" customHeight="1">
      <x:c r="A1262" s="90" t="n">
        <x:f>MONATSBUDGET!$A$70</x:f>
        <x:v>48122</x:v>
      </x:c>
      <x:c r="B1262" t="n">
        <x:f>3</x:f>
        <x:v>3</x:v>
      </x:c>
      <x:c r="C1262" t="str">
        <x:f>IF($N$11="","",$N$11)</x:f>
      </x:c>
      <x:c r="D1262" s="88" t="str">
        <x:f>IF(C1262="","",I1242)</x:f>
      </x:c>
      <x:c r="E1262" s="88" t="str">
        <x:f>IF(C1262="","",ROUND(D1262*$P$11/12,2))</x:f>
      </x:c>
      <x:c r="F1262" s="88" t="str">
        <x:f>IF(C1262="","",MIN(D1262+E1262,$Q$11))</x:f>
      </x:c>
      <x:c r="G1262" s="88" t="str">
        <x:f>IF(C1262="","",MIN(MAX(0,D1262+E1262-F1262),SUMIFS(SONDERZAHLUNGEN!$E$9:$E$128,SONDERZAHLUNGEN!$B$9:$B$128,C1262,SONDERZAHLUNGEN!$C$9:$C$128,A1262,SONDERZAHLUNGEN!$H$9:$H$128,"OK",SONDERZAHLUNGEN!$F$9:$F$128,"Ja")))</x:f>
      </x:c>
      <x:c r="H1262" s="88" t="str">
        <x:f>IF(C1262="","",MIN(MAX(0,D1262+E1262-F1262-G1262),MAX(0,IF(MONATSBUDGET!$C$70="",0,MONATSBUDGET!$C$70)-SUM(F1260:F1279)-SUM(H1260:H1261))))</x:f>
      </x:c>
      <x:c r="I1262" s="88" t="str">
        <x:f>IF(C1262="","",MAX(0,ROUND(D1262+E1262-F1262-G1262-H1262,2)))</x:f>
      </x:c>
      <x:c r="J1262" s="88" t="str">
        <x:f>IF(C1262="","",F1262+G1262+H1262)</x:f>
      </x:c>
      <x:c r="K1262" s="88" t="str">
        <x:f>IF(C1262="","",MAX(0,SUMIFS(SONDERZAHLUNGEN!$E$9:$E$128,SONDERZAHLUNGEN!$B$9:$B$128,C1262,SONDERZAHLUNGEN!$C$9:$C$128,A1262,SONDERZAHLUNGEN!$H$9:$H$128,"OK",SONDERZAHLUNGEN!$F$9:$F$128,"Ja")-G1262))</x:f>
      </x:c>
    </x:row>
    <x:row r="1263" ht="19" customHeight="1">
      <x:c r="A1263" s="90" t="n">
        <x:f>MONATSBUDGET!$A$70</x:f>
        <x:v>48122</x:v>
      </x:c>
      <x:c r="B1263" t="n">
        <x:f>4</x:f>
        <x:v>4</x:v>
      </x:c>
      <x:c r="C1263" t="str">
        <x:f>IF($N$12="","",$N$12)</x:f>
      </x:c>
      <x:c r="D1263" s="88" t="str">
        <x:f>IF(C1263="","",I1243)</x:f>
      </x:c>
      <x:c r="E1263" s="88" t="str">
        <x:f>IF(C1263="","",ROUND(D1263*$P$12/12,2))</x:f>
      </x:c>
      <x:c r="F1263" s="88" t="str">
        <x:f>IF(C1263="","",MIN(D1263+E1263,$Q$12))</x:f>
      </x:c>
      <x:c r="G1263" s="88" t="str">
        <x:f>IF(C1263="","",MIN(MAX(0,D1263+E1263-F1263),SUMIFS(SONDERZAHLUNGEN!$E$9:$E$128,SONDERZAHLUNGEN!$B$9:$B$128,C1263,SONDERZAHLUNGEN!$C$9:$C$128,A1263,SONDERZAHLUNGEN!$H$9:$H$128,"OK",SONDERZAHLUNGEN!$F$9:$F$128,"Ja")))</x:f>
      </x:c>
      <x:c r="H1263" s="88" t="str">
        <x:f>IF(C1263="","",MIN(MAX(0,D1263+E1263-F1263-G1263),MAX(0,IF(MONATSBUDGET!$C$70="",0,MONATSBUDGET!$C$70)-SUM(F1260:F1279)-SUM(H1260:H1262))))</x:f>
      </x:c>
      <x:c r="I1263" s="88" t="str">
        <x:f>IF(C1263="","",MAX(0,ROUND(D1263+E1263-F1263-G1263-H1263,2)))</x:f>
      </x:c>
      <x:c r="J1263" s="88" t="str">
        <x:f>IF(C1263="","",F1263+G1263+H1263)</x:f>
      </x:c>
      <x:c r="K1263" s="88" t="str">
        <x:f>IF(C1263="","",MAX(0,SUMIFS(SONDERZAHLUNGEN!$E$9:$E$128,SONDERZAHLUNGEN!$B$9:$B$128,C1263,SONDERZAHLUNGEN!$C$9:$C$128,A1263,SONDERZAHLUNGEN!$H$9:$H$128,"OK",SONDERZAHLUNGEN!$F$9:$F$128,"Ja")-G1263))</x:f>
      </x:c>
    </x:row>
    <x:row r="1264" ht="19" customHeight="1">
      <x:c r="A1264" s="90" t="n">
        <x:f>MONATSBUDGET!$A$70</x:f>
        <x:v>48122</x:v>
      </x:c>
      <x:c r="B1264" t="n">
        <x:f>5</x:f>
        <x:v>5</x:v>
      </x:c>
      <x:c r="C1264" t="str">
        <x:f>IF($N$13="","",$N$13)</x:f>
      </x:c>
      <x:c r="D1264" s="88" t="str">
        <x:f>IF(C1264="","",I1244)</x:f>
      </x:c>
      <x:c r="E1264" s="88" t="str">
        <x:f>IF(C1264="","",ROUND(D1264*$P$13/12,2))</x:f>
      </x:c>
      <x:c r="F1264" s="88" t="str">
        <x:f>IF(C1264="","",MIN(D1264+E1264,$Q$13))</x:f>
      </x:c>
      <x:c r="G1264" s="88" t="str">
        <x:f>IF(C1264="","",MIN(MAX(0,D1264+E1264-F1264),SUMIFS(SONDERZAHLUNGEN!$E$9:$E$128,SONDERZAHLUNGEN!$B$9:$B$128,C1264,SONDERZAHLUNGEN!$C$9:$C$128,A1264,SONDERZAHLUNGEN!$H$9:$H$128,"OK",SONDERZAHLUNGEN!$F$9:$F$128,"Ja")))</x:f>
      </x:c>
      <x:c r="H1264" s="88" t="str">
        <x:f>IF(C1264="","",MIN(MAX(0,D1264+E1264-F1264-G1264),MAX(0,IF(MONATSBUDGET!$C$70="",0,MONATSBUDGET!$C$70)-SUM(F1260:F1279)-SUM(H1260:H1263))))</x:f>
      </x:c>
      <x:c r="I1264" s="88" t="str">
        <x:f>IF(C1264="","",MAX(0,ROUND(D1264+E1264-F1264-G1264-H1264,2)))</x:f>
      </x:c>
      <x:c r="J1264" s="88" t="str">
        <x:f>IF(C1264="","",F1264+G1264+H1264)</x:f>
      </x:c>
      <x:c r="K1264" s="88" t="str">
        <x:f>IF(C1264="","",MAX(0,SUMIFS(SONDERZAHLUNGEN!$E$9:$E$128,SONDERZAHLUNGEN!$B$9:$B$128,C1264,SONDERZAHLUNGEN!$C$9:$C$128,A1264,SONDERZAHLUNGEN!$H$9:$H$128,"OK",SONDERZAHLUNGEN!$F$9:$F$128,"Ja")-G1264))</x:f>
      </x:c>
    </x:row>
    <x:row r="1265" ht="19" customHeight="1">
      <x:c r="A1265" s="90" t="n">
        <x:f>MONATSBUDGET!$A$70</x:f>
        <x:v>48122</x:v>
      </x:c>
      <x:c r="B1265" t="n">
        <x:f>6</x:f>
        <x:v>6</x:v>
      </x:c>
      <x:c r="C1265" t="str">
        <x:f>IF($N$14="","",$N$14)</x:f>
      </x:c>
      <x:c r="D1265" s="88" t="str">
        <x:f>IF(C1265="","",I1245)</x:f>
      </x:c>
      <x:c r="E1265" s="88" t="str">
        <x:f>IF(C1265="","",ROUND(D1265*$P$14/12,2))</x:f>
      </x:c>
      <x:c r="F1265" s="88" t="str">
        <x:f>IF(C1265="","",MIN(D1265+E1265,$Q$14))</x:f>
      </x:c>
      <x:c r="G1265" s="88" t="str">
        <x:f>IF(C1265="","",MIN(MAX(0,D1265+E1265-F1265),SUMIFS(SONDERZAHLUNGEN!$E$9:$E$128,SONDERZAHLUNGEN!$B$9:$B$128,C1265,SONDERZAHLUNGEN!$C$9:$C$128,A1265,SONDERZAHLUNGEN!$H$9:$H$128,"OK",SONDERZAHLUNGEN!$F$9:$F$128,"Ja")))</x:f>
      </x:c>
      <x:c r="H1265" s="88" t="str">
        <x:f>IF(C1265="","",MIN(MAX(0,D1265+E1265-F1265-G1265),MAX(0,IF(MONATSBUDGET!$C$70="",0,MONATSBUDGET!$C$70)-SUM(F1260:F1279)-SUM(H1260:H1264))))</x:f>
      </x:c>
      <x:c r="I1265" s="88" t="str">
        <x:f>IF(C1265="","",MAX(0,ROUND(D1265+E1265-F1265-G1265-H1265,2)))</x:f>
      </x:c>
      <x:c r="J1265" s="88" t="str">
        <x:f>IF(C1265="","",F1265+G1265+H1265)</x:f>
      </x:c>
      <x:c r="K1265" s="88" t="str">
        <x:f>IF(C1265="","",MAX(0,SUMIFS(SONDERZAHLUNGEN!$E$9:$E$128,SONDERZAHLUNGEN!$B$9:$B$128,C1265,SONDERZAHLUNGEN!$C$9:$C$128,A1265,SONDERZAHLUNGEN!$H$9:$H$128,"OK",SONDERZAHLUNGEN!$F$9:$F$128,"Ja")-G1265))</x:f>
      </x:c>
    </x:row>
    <x:row r="1266" ht="19" customHeight="1">
      <x:c r="A1266" s="90" t="n">
        <x:f>MONATSBUDGET!$A$70</x:f>
        <x:v>48122</x:v>
      </x:c>
      <x:c r="B1266" t="n">
        <x:f>7</x:f>
        <x:v>7</x:v>
      </x:c>
      <x:c r="C1266" t="str">
        <x:f>IF($N$15="","",$N$15)</x:f>
      </x:c>
      <x:c r="D1266" s="88" t="str">
        <x:f>IF(C1266="","",I1246)</x:f>
      </x:c>
      <x:c r="E1266" s="88" t="str">
        <x:f>IF(C1266="","",ROUND(D1266*$P$15/12,2))</x:f>
      </x:c>
      <x:c r="F1266" s="88" t="str">
        <x:f>IF(C1266="","",MIN(D1266+E1266,$Q$15))</x:f>
      </x:c>
      <x:c r="G1266" s="88" t="str">
        <x:f>IF(C1266="","",MIN(MAX(0,D1266+E1266-F1266),SUMIFS(SONDERZAHLUNGEN!$E$9:$E$128,SONDERZAHLUNGEN!$B$9:$B$128,C1266,SONDERZAHLUNGEN!$C$9:$C$128,A1266,SONDERZAHLUNGEN!$H$9:$H$128,"OK",SONDERZAHLUNGEN!$F$9:$F$128,"Ja")))</x:f>
      </x:c>
      <x:c r="H1266" s="88" t="str">
        <x:f>IF(C1266="","",MIN(MAX(0,D1266+E1266-F1266-G1266),MAX(0,IF(MONATSBUDGET!$C$70="",0,MONATSBUDGET!$C$70)-SUM(F1260:F1279)-SUM(H1260:H1265))))</x:f>
      </x:c>
      <x:c r="I1266" s="88" t="str">
        <x:f>IF(C1266="","",MAX(0,ROUND(D1266+E1266-F1266-G1266-H1266,2)))</x:f>
      </x:c>
      <x:c r="J1266" s="88" t="str">
        <x:f>IF(C1266="","",F1266+G1266+H1266)</x:f>
      </x:c>
      <x:c r="K1266" s="88" t="str">
        <x:f>IF(C1266="","",MAX(0,SUMIFS(SONDERZAHLUNGEN!$E$9:$E$128,SONDERZAHLUNGEN!$B$9:$B$128,C1266,SONDERZAHLUNGEN!$C$9:$C$128,A1266,SONDERZAHLUNGEN!$H$9:$H$128,"OK",SONDERZAHLUNGEN!$F$9:$F$128,"Ja")-G1266))</x:f>
      </x:c>
    </x:row>
    <x:row r="1267" ht="19" customHeight="1">
      <x:c r="A1267" s="90" t="n">
        <x:f>MONATSBUDGET!$A$70</x:f>
        <x:v>48122</x:v>
      </x:c>
      <x:c r="B1267" t="n">
        <x:f>8</x:f>
        <x:v>8</x:v>
      </x:c>
      <x:c r="C1267" t="str">
        <x:f>IF($N$16="","",$N$16)</x:f>
      </x:c>
      <x:c r="D1267" s="88" t="str">
        <x:f>IF(C1267="","",I1247)</x:f>
      </x:c>
      <x:c r="E1267" s="88" t="str">
        <x:f>IF(C1267="","",ROUND(D1267*$P$16/12,2))</x:f>
      </x:c>
      <x:c r="F1267" s="88" t="str">
        <x:f>IF(C1267="","",MIN(D1267+E1267,$Q$16))</x:f>
      </x:c>
      <x:c r="G1267" s="88" t="str">
        <x:f>IF(C1267="","",MIN(MAX(0,D1267+E1267-F1267),SUMIFS(SONDERZAHLUNGEN!$E$9:$E$128,SONDERZAHLUNGEN!$B$9:$B$128,C1267,SONDERZAHLUNGEN!$C$9:$C$128,A1267,SONDERZAHLUNGEN!$H$9:$H$128,"OK",SONDERZAHLUNGEN!$F$9:$F$128,"Ja")))</x:f>
      </x:c>
      <x:c r="H1267" s="88" t="str">
        <x:f>IF(C1267="","",MIN(MAX(0,D1267+E1267-F1267-G1267),MAX(0,IF(MONATSBUDGET!$C$70="",0,MONATSBUDGET!$C$70)-SUM(F1260:F1279)-SUM(H1260:H1266))))</x:f>
      </x:c>
      <x:c r="I1267" s="88" t="str">
        <x:f>IF(C1267="","",MAX(0,ROUND(D1267+E1267-F1267-G1267-H1267,2)))</x:f>
      </x:c>
      <x:c r="J1267" s="88" t="str">
        <x:f>IF(C1267="","",F1267+G1267+H1267)</x:f>
      </x:c>
      <x:c r="K1267" s="88" t="str">
        <x:f>IF(C1267="","",MAX(0,SUMIFS(SONDERZAHLUNGEN!$E$9:$E$128,SONDERZAHLUNGEN!$B$9:$B$128,C1267,SONDERZAHLUNGEN!$C$9:$C$128,A1267,SONDERZAHLUNGEN!$H$9:$H$128,"OK",SONDERZAHLUNGEN!$F$9:$F$128,"Ja")-G1267))</x:f>
      </x:c>
    </x:row>
    <x:row r="1268" ht="19" customHeight="1">
      <x:c r="A1268" s="90" t="n">
        <x:f>MONATSBUDGET!$A$70</x:f>
        <x:v>48122</x:v>
      </x:c>
      <x:c r="B1268" t="n">
        <x:f>9</x:f>
        <x:v>9</x:v>
      </x:c>
      <x:c r="C1268" t="str">
        <x:f>IF($N$17="","",$N$17)</x:f>
      </x:c>
      <x:c r="D1268" s="88" t="str">
        <x:f>IF(C1268="","",I1248)</x:f>
      </x:c>
      <x:c r="E1268" s="88" t="str">
        <x:f>IF(C1268="","",ROUND(D1268*$P$17/12,2))</x:f>
      </x:c>
      <x:c r="F1268" s="88" t="str">
        <x:f>IF(C1268="","",MIN(D1268+E1268,$Q$17))</x:f>
      </x:c>
      <x:c r="G1268" s="88" t="str">
        <x:f>IF(C1268="","",MIN(MAX(0,D1268+E1268-F1268),SUMIFS(SONDERZAHLUNGEN!$E$9:$E$128,SONDERZAHLUNGEN!$B$9:$B$128,C1268,SONDERZAHLUNGEN!$C$9:$C$128,A1268,SONDERZAHLUNGEN!$H$9:$H$128,"OK",SONDERZAHLUNGEN!$F$9:$F$128,"Ja")))</x:f>
      </x:c>
      <x:c r="H1268" s="88" t="str">
        <x:f>IF(C1268="","",MIN(MAX(0,D1268+E1268-F1268-G1268),MAX(0,IF(MONATSBUDGET!$C$70="",0,MONATSBUDGET!$C$70)-SUM(F1260:F1279)-SUM(H1260:H1267))))</x:f>
      </x:c>
      <x:c r="I1268" s="88" t="str">
        <x:f>IF(C1268="","",MAX(0,ROUND(D1268+E1268-F1268-G1268-H1268,2)))</x:f>
      </x:c>
      <x:c r="J1268" s="88" t="str">
        <x:f>IF(C1268="","",F1268+G1268+H1268)</x:f>
      </x:c>
      <x:c r="K1268" s="88" t="str">
        <x:f>IF(C1268="","",MAX(0,SUMIFS(SONDERZAHLUNGEN!$E$9:$E$128,SONDERZAHLUNGEN!$B$9:$B$128,C1268,SONDERZAHLUNGEN!$C$9:$C$128,A1268,SONDERZAHLUNGEN!$H$9:$H$128,"OK",SONDERZAHLUNGEN!$F$9:$F$128,"Ja")-G1268))</x:f>
      </x:c>
    </x:row>
    <x:row r="1269" ht="19" customHeight="1">
      <x:c r="A1269" s="90" t="n">
        <x:f>MONATSBUDGET!$A$70</x:f>
        <x:v>48122</x:v>
      </x:c>
      <x:c r="B1269" t="n">
        <x:f>10</x:f>
        <x:v>10</x:v>
      </x:c>
      <x:c r="C1269" t="str">
        <x:f>IF($N$18="","",$N$18)</x:f>
      </x:c>
      <x:c r="D1269" s="88" t="str">
        <x:f>IF(C1269="","",I1249)</x:f>
      </x:c>
      <x:c r="E1269" s="88" t="str">
        <x:f>IF(C1269="","",ROUND(D1269*$P$18/12,2))</x:f>
      </x:c>
      <x:c r="F1269" s="88" t="str">
        <x:f>IF(C1269="","",MIN(D1269+E1269,$Q$18))</x:f>
      </x:c>
      <x:c r="G1269" s="88" t="str">
        <x:f>IF(C1269="","",MIN(MAX(0,D1269+E1269-F1269),SUMIFS(SONDERZAHLUNGEN!$E$9:$E$128,SONDERZAHLUNGEN!$B$9:$B$128,C1269,SONDERZAHLUNGEN!$C$9:$C$128,A1269,SONDERZAHLUNGEN!$H$9:$H$128,"OK",SONDERZAHLUNGEN!$F$9:$F$128,"Ja")))</x:f>
      </x:c>
      <x:c r="H1269" s="88" t="str">
        <x:f>IF(C1269="","",MIN(MAX(0,D1269+E1269-F1269-G1269),MAX(0,IF(MONATSBUDGET!$C$70="",0,MONATSBUDGET!$C$70)-SUM(F1260:F1279)-SUM(H1260:H1268))))</x:f>
      </x:c>
      <x:c r="I1269" s="88" t="str">
        <x:f>IF(C1269="","",MAX(0,ROUND(D1269+E1269-F1269-G1269-H1269,2)))</x:f>
      </x:c>
      <x:c r="J1269" s="88" t="str">
        <x:f>IF(C1269="","",F1269+G1269+H1269)</x:f>
      </x:c>
      <x:c r="K1269" s="88" t="str">
        <x:f>IF(C1269="","",MAX(0,SUMIFS(SONDERZAHLUNGEN!$E$9:$E$128,SONDERZAHLUNGEN!$B$9:$B$128,C1269,SONDERZAHLUNGEN!$C$9:$C$128,A1269,SONDERZAHLUNGEN!$H$9:$H$128,"OK",SONDERZAHLUNGEN!$F$9:$F$128,"Ja")-G1269))</x:f>
      </x:c>
    </x:row>
    <x:row r="1270" ht="19" customHeight="1">
      <x:c r="A1270" s="90" t="n">
        <x:f>MONATSBUDGET!$A$70</x:f>
        <x:v>48122</x:v>
      </x:c>
      <x:c r="B1270" t="n">
        <x:f>11</x:f>
        <x:v>11</x:v>
      </x:c>
      <x:c r="C1270" t="str">
        <x:f>IF($N$19="","",$N$19)</x:f>
      </x:c>
      <x:c r="D1270" s="88" t="str">
        <x:f>IF(C1270="","",I1250)</x:f>
      </x:c>
      <x:c r="E1270" s="88" t="str">
        <x:f>IF(C1270="","",ROUND(D1270*$P$19/12,2))</x:f>
      </x:c>
      <x:c r="F1270" s="88" t="str">
        <x:f>IF(C1270="","",MIN(D1270+E1270,$Q$19))</x:f>
      </x:c>
      <x:c r="G1270" s="88" t="str">
        <x:f>IF(C1270="","",MIN(MAX(0,D1270+E1270-F1270),SUMIFS(SONDERZAHLUNGEN!$E$9:$E$128,SONDERZAHLUNGEN!$B$9:$B$128,C1270,SONDERZAHLUNGEN!$C$9:$C$128,A1270,SONDERZAHLUNGEN!$H$9:$H$128,"OK",SONDERZAHLUNGEN!$F$9:$F$128,"Ja")))</x:f>
      </x:c>
      <x:c r="H1270" s="88" t="str">
        <x:f>IF(C1270="","",MIN(MAX(0,D1270+E1270-F1270-G1270),MAX(0,IF(MONATSBUDGET!$C$70="",0,MONATSBUDGET!$C$70)-SUM(F1260:F1279)-SUM(H1260:H1269))))</x:f>
      </x:c>
      <x:c r="I1270" s="88" t="str">
        <x:f>IF(C1270="","",MAX(0,ROUND(D1270+E1270-F1270-G1270-H1270,2)))</x:f>
      </x:c>
      <x:c r="J1270" s="88" t="str">
        <x:f>IF(C1270="","",F1270+G1270+H1270)</x:f>
      </x:c>
      <x:c r="K1270" s="88" t="str">
        <x:f>IF(C1270="","",MAX(0,SUMIFS(SONDERZAHLUNGEN!$E$9:$E$128,SONDERZAHLUNGEN!$B$9:$B$128,C1270,SONDERZAHLUNGEN!$C$9:$C$128,A1270,SONDERZAHLUNGEN!$H$9:$H$128,"OK",SONDERZAHLUNGEN!$F$9:$F$128,"Ja")-G1270))</x:f>
      </x:c>
    </x:row>
    <x:row r="1271" ht="19" customHeight="1">
      <x:c r="A1271" s="90" t="n">
        <x:f>MONATSBUDGET!$A$70</x:f>
        <x:v>48122</x:v>
      </x:c>
      <x:c r="B1271" t="n">
        <x:f>12</x:f>
        <x:v>12</x:v>
      </x:c>
      <x:c r="C1271" t="str">
        <x:f>IF($N$20="","",$N$20)</x:f>
      </x:c>
      <x:c r="D1271" s="88" t="str">
        <x:f>IF(C1271="","",I1251)</x:f>
      </x:c>
      <x:c r="E1271" s="88" t="str">
        <x:f>IF(C1271="","",ROUND(D1271*$P$20/12,2))</x:f>
      </x:c>
      <x:c r="F1271" s="88" t="str">
        <x:f>IF(C1271="","",MIN(D1271+E1271,$Q$20))</x:f>
      </x:c>
      <x:c r="G1271" s="88" t="str">
        <x:f>IF(C1271="","",MIN(MAX(0,D1271+E1271-F1271),SUMIFS(SONDERZAHLUNGEN!$E$9:$E$128,SONDERZAHLUNGEN!$B$9:$B$128,C1271,SONDERZAHLUNGEN!$C$9:$C$128,A1271,SONDERZAHLUNGEN!$H$9:$H$128,"OK",SONDERZAHLUNGEN!$F$9:$F$128,"Ja")))</x:f>
      </x:c>
      <x:c r="H1271" s="88" t="str">
        <x:f>IF(C1271="","",MIN(MAX(0,D1271+E1271-F1271-G1271),MAX(0,IF(MONATSBUDGET!$C$70="",0,MONATSBUDGET!$C$70)-SUM(F1260:F1279)-SUM(H1260:H1270))))</x:f>
      </x:c>
      <x:c r="I1271" s="88" t="str">
        <x:f>IF(C1271="","",MAX(0,ROUND(D1271+E1271-F1271-G1271-H1271,2)))</x:f>
      </x:c>
      <x:c r="J1271" s="88" t="str">
        <x:f>IF(C1271="","",F1271+G1271+H1271)</x:f>
      </x:c>
      <x:c r="K1271" s="88" t="str">
        <x:f>IF(C1271="","",MAX(0,SUMIFS(SONDERZAHLUNGEN!$E$9:$E$128,SONDERZAHLUNGEN!$B$9:$B$128,C1271,SONDERZAHLUNGEN!$C$9:$C$128,A1271,SONDERZAHLUNGEN!$H$9:$H$128,"OK",SONDERZAHLUNGEN!$F$9:$F$128,"Ja")-G1271))</x:f>
      </x:c>
    </x:row>
    <x:row r="1272" ht="19" customHeight="1">
      <x:c r="A1272" s="90" t="n">
        <x:f>MONATSBUDGET!$A$70</x:f>
        <x:v>48122</x:v>
      </x:c>
      <x:c r="B1272" t="n">
        <x:f>13</x:f>
        <x:v>13</x:v>
      </x:c>
      <x:c r="C1272" t="str">
        <x:f>IF($N$21="","",$N$21)</x:f>
      </x:c>
      <x:c r="D1272" s="88" t="str">
        <x:f>IF(C1272="","",I1252)</x:f>
      </x:c>
      <x:c r="E1272" s="88" t="str">
        <x:f>IF(C1272="","",ROUND(D1272*$P$21/12,2))</x:f>
      </x:c>
      <x:c r="F1272" s="88" t="str">
        <x:f>IF(C1272="","",MIN(D1272+E1272,$Q$21))</x:f>
      </x:c>
      <x:c r="G1272" s="88" t="str">
        <x:f>IF(C1272="","",MIN(MAX(0,D1272+E1272-F1272),SUMIFS(SONDERZAHLUNGEN!$E$9:$E$128,SONDERZAHLUNGEN!$B$9:$B$128,C1272,SONDERZAHLUNGEN!$C$9:$C$128,A1272,SONDERZAHLUNGEN!$H$9:$H$128,"OK",SONDERZAHLUNGEN!$F$9:$F$128,"Ja")))</x:f>
      </x:c>
      <x:c r="H1272" s="88" t="str">
        <x:f>IF(C1272="","",MIN(MAX(0,D1272+E1272-F1272-G1272),MAX(0,IF(MONATSBUDGET!$C$70="",0,MONATSBUDGET!$C$70)-SUM(F1260:F1279)-SUM(H1260:H1271))))</x:f>
      </x:c>
      <x:c r="I1272" s="88" t="str">
        <x:f>IF(C1272="","",MAX(0,ROUND(D1272+E1272-F1272-G1272-H1272,2)))</x:f>
      </x:c>
      <x:c r="J1272" s="88" t="str">
        <x:f>IF(C1272="","",F1272+G1272+H1272)</x:f>
      </x:c>
      <x:c r="K1272" s="88" t="str">
        <x:f>IF(C1272="","",MAX(0,SUMIFS(SONDERZAHLUNGEN!$E$9:$E$128,SONDERZAHLUNGEN!$B$9:$B$128,C1272,SONDERZAHLUNGEN!$C$9:$C$128,A1272,SONDERZAHLUNGEN!$H$9:$H$128,"OK",SONDERZAHLUNGEN!$F$9:$F$128,"Ja")-G1272))</x:f>
      </x:c>
    </x:row>
    <x:row r="1273" ht="19" customHeight="1">
      <x:c r="A1273" s="90" t="n">
        <x:f>MONATSBUDGET!$A$70</x:f>
        <x:v>48122</x:v>
      </x:c>
      <x:c r="B1273" t="n">
        <x:f>14</x:f>
        <x:v>14</x:v>
      </x:c>
      <x:c r="C1273" t="str">
        <x:f>IF($N$22="","",$N$22)</x:f>
      </x:c>
      <x:c r="D1273" s="88" t="str">
        <x:f>IF(C1273="","",I1253)</x:f>
      </x:c>
      <x:c r="E1273" s="88" t="str">
        <x:f>IF(C1273="","",ROUND(D1273*$P$22/12,2))</x:f>
      </x:c>
      <x:c r="F1273" s="88" t="str">
        <x:f>IF(C1273="","",MIN(D1273+E1273,$Q$22))</x:f>
      </x:c>
      <x:c r="G1273" s="88" t="str">
        <x:f>IF(C1273="","",MIN(MAX(0,D1273+E1273-F1273),SUMIFS(SONDERZAHLUNGEN!$E$9:$E$128,SONDERZAHLUNGEN!$B$9:$B$128,C1273,SONDERZAHLUNGEN!$C$9:$C$128,A1273,SONDERZAHLUNGEN!$H$9:$H$128,"OK",SONDERZAHLUNGEN!$F$9:$F$128,"Ja")))</x:f>
      </x:c>
      <x:c r="H1273" s="88" t="str">
        <x:f>IF(C1273="","",MIN(MAX(0,D1273+E1273-F1273-G1273),MAX(0,IF(MONATSBUDGET!$C$70="",0,MONATSBUDGET!$C$70)-SUM(F1260:F1279)-SUM(H1260:H1272))))</x:f>
      </x:c>
      <x:c r="I1273" s="88" t="str">
        <x:f>IF(C1273="","",MAX(0,ROUND(D1273+E1273-F1273-G1273-H1273,2)))</x:f>
      </x:c>
      <x:c r="J1273" s="88" t="str">
        <x:f>IF(C1273="","",F1273+G1273+H1273)</x:f>
      </x:c>
      <x:c r="K1273" s="88" t="str">
        <x:f>IF(C1273="","",MAX(0,SUMIFS(SONDERZAHLUNGEN!$E$9:$E$128,SONDERZAHLUNGEN!$B$9:$B$128,C1273,SONDERZAHLUNGEN!$C$9:$C$128,A1273,SONDERZAHLUNGEN!$H$9:$H$128,"OK",SONDERZAHLUNGEN!$F$9:$F$128,"Ja")-G1273))</x:f>
      </x:c>
    </x:row>
    <x:row r="1274" ht="19" customHeight="1">
      <x:c r="A1274" s="90" t="n">
        <x:f>MONATSBUDGET!$A$70</x:f>
        <x:v>48122</x:v>
      </x:c>
      <x:c r="B1274" t="n">
        <x:f>15</x:f>
        <x:v>15</x:v>
      </x:c>
      <x:c r="C1274" t="str">
        <x:f>IF($N$23="","",$N$23)</x:f>
      </x:c>
      <x:c r="D1274" s="88" t="str">
        <x:f>IF(C1274="","",I1254)</x:f>
      </x:c>
      <x:c r="E1274" s="88" t="str">
        <x:f>IF(C1274="","",ROUND(D1274*$P$23/12,2))</x:f>
      </x:c>
      <x:c r="F1274" s="88" t="str">
        <x:f>IF(C1274="","",MIN(D1274+E1274,$Q$23))</x:f>
      </x:c>
      <x:c r="G1274" s="88" t="str">
        <x:f>IF(C1274="","",MIN(MAX(0,D1274+E1274-F1274),SUMIFS(SONDERZAHLUNGEN!$E$9:$E$128,SONDERZAHLUNGEN!$B$9:$B$128,C1274,SONDERZAHLUNGEN!$C$9:$C$128,A1274,SONDERZAHLUNGEN!$H$9:$H$128,"OK",SONDERZAHLUNGEN!$F$9:$F$128,"Ja")))</x:f>
      </x:c>
      <x:c r="H1274" s="88" t="str">
        <x:f>IF(C1274="","",MIN(MAX(0,D1274+E1274-F1274-G1274),MAX(0,IF(MONATSBUDGET!$C$70="",0,MONATSBUDGET!$C$70)-SUM(F1260:F1279)-SUM(H1260:H1273))))</x:f>
      </x:c>
      <x:c r="I1274" s="88" t="str">
        <x:f>IF(C1274="","",MAX(0,ROUND(D1274+E1274-F1274-G1274-H1274,2)))</x:f>
      </x:c>
      <x:c r="J1274" s="88" t="str">
        <x:f>IF(C1274="","",F1274+G1274+H1274)</x:f>
      </x:c>
      <x:c r="K1274" s="88" t="str">
        <x:f>IF(C1274="","",MAX(0,SUMIFS(SONDERZAHLUNGEN!$E$9:$E$128,SONDERZAHLUNGEN!$B$9:$B$128,C1274,SONDERZAHLUNGEN!$C$9:$C$128,A1274,SONDERZAHLUNGEN!$H$9:$H$128,"OK",SONDERZAHLUNGEN!$F$9:$F$128,"Ja")-G1274))</x:f>
      </x:c>
    </x:row>
    <x:row r="1275" ht="19" customHeight="1">
      <x:c r="A1275" s="90" t="n">
        <x:f>MONATSBUDGET!$A$70</x:f>
        <x:v>48122</x:v>
      </x:c>
      <x:c r="B1275" t="n">
        <x:f>16</x:f>
        <x:v>16</x:v>
      </x:c>
      <x:c r="C1275" t="str">
        <x:f>IF($N$24="","",$N$24)</x:f>
      </x:c>
      <x:c r="D1275" s="88" t="str">
        <x:f>IF(C1275="","",I1255)</x:f>
      </x:c>
      <x:c r="E1275" s="88" t="str">
        <x:f>IF(C1275="","",ROUND(D1275*$P$24/12,2))</x:f>
      </x:c>
      <x:c r="F1275" s="88" t="str">
        <x:f>IF(C1275="","",MIN(D1275+E1275,$Q$24))</x:f>
      </x:c>
      <x:c r="G1275" s="88" t="str">
        <x:f>IF(C1275="","",MIN(MAX(0,D1275+E1275-F1275),SUMIFS(SONDERZAHLUNGEN!$E$9:$E$128,SONDERZAHLUNGEN!$B$9:$B$128,C1275,SONDERZAHLUNGEN!$C$9:$C$128,A1275,SONDERZAHLUNGEN!$H$9:$H$128,"OK",SONDERZAHLUNGEN!$F$9:$F$128,"Ja")))</x:f>
      </x:c>
      <x:c r="H1275" s="88" t="str">
        <x:f>IF(C1275="","",MIN(MAX(0,D1275+E1275-F1275-G1275),MAX(0,IF(MONATSBUDGET!$C$70="",0,MONATSBUDGET!$C$70)-SUM(F1260:F1279)-SUM(H1260:H1274))))</x:f>
      </x:c>
      <x:c r="I1275" s="88" t="str">
        <x:f>IF(C1275="","",MAX(0,ROUND(D1275+E1275-F1275-G1275-H1275,2)))</x:f>
      </x:c>
      <x:c r="J1275" s="88" t="str">
        <x:f>IF(C1275="","",F1275+G1275+H1275)</x:f>
      </x:c>
      <x:c r="K1275" s="88" t="str">
        <x:f>IF(C1275="","",MAX(0,SUMIFS(SONDERZAHLUNGEN!$E$9:$E$128,SONDERZAHLUNGEN!$B$9:$B$128,C1275,SONDERZAHLUNGEN!$C$9:$C$128,A1275,SONDERZAHLUNGEN!$H$9:$H$128,"OK",SONDERZAHLUNGEN!$F$9:$F$128,"Ja")-G1275))</x:f>
      </x:c>
    </x:row>
    <x:row r="1276" ht="19" customHeight="1">
      <x:c r="A1276" s="90" t="n">
        <x:f>MONATSBUDGET!$A$70</x:f>
        <x:v>48122</x:v>
      </x:c>
      <x:c r="B1276" t="n">
        <x:f>17</x:f>
        <x:v>17</x:v>
      </x:c>
      <x:c r="C1276" t="str">
        <x:f>IF($N$25="","",$N$25)</x:f>
      </x:c>
      <x:c r="D1276" s="88" t="str">
        <x:f>IF(C1276="","",I1256)</x:f>
      </x:c>
      <x:c r="E1276" s="88" t="str">
        <x:f>IF(C1276="","",ROUND(D1276*$P$25/12,2))</x:f>
      </x:c>
      <x:c r="F1276" s="88" t="str">
        <x:f>IF(C1276="","",MIN(D1276+E1276,$Q$25))</x:f>
      </x:c>
      <x:c r="G1276" s="88" t="str">
        <x:f>IF(C1276="","",MIN(MAX(0,D1276+E1276-F1276),SUMIFS(SONDERZAHLUNGEN!$E$9:$E$128,SONDERZAHLUNGEN!$B$9:$B$128,C1276,SONDERZAHLUNGEN!$C$9:$C$128,A1276,SONDERZAHLUNGEN!$H$9:$H$128,"OK",SONDERZAHLUNGEN!$F$9:$F$128,"Ja")))</x:f>
      </x:c>
      <x:c r="H1276" s="88" t="str">
        <x:f>IF(C1276="","",MIN(MAX(0,D1276+E1276-F1276-G1276),MAX(0,IF(MONATSBUDGET!$C$70="",0,MONATSBUDGET!$C$70)-SUM(F1260:F1279)-SUM(H1260:H1275))))</x:f>
      </x:c>
      <x:c r="I1276" s="88" t="str">
        <x:f>IF(C1276="","",MAX(0,ROUND(D1276+E1276-F1276-G1276-H1276,2)))</x:f>
      </x:c>
      <x:c r="J1276" s="88" t="str">
        <x:f>IF(C1276="","",F1276+G1276+H1276)</x:f>
      </x:c>
      <x:c r="K1276" s="88" t="str">
        <x:f>IF(C1276="","",MAX(0,SUMIFS(SONDERZAHLUNGEN!$E$9:$E$128,SONDERZAHLUNGEN!$B$9:$B$128,C1276,SONDERZAHLUNGEN!$C$9:$C$128,A1276,SONDERZAHLUNGEN!$H$9:$H$128,"OK",SONDERZAHLUNGEN!$F$9:$F$128,"Ja")-G1276))</x:f>
      </x:c>
    </x:row>
    <x:row r="1277" ht="19" customHeight="1">
      <x:c r="A1277" s="90" t="n">
        <x:f>MONATSBUDGET!$A$70</x:f>
        <x:v>48122</x:v>
      </x:c>
      <x:c r="B1277" t="n">
        <x:f>18</x:f>
        <x:v>18</x:v>
      </x:c>
      <x:c r="C1277" t="str">
        <x:f>IF($N$26="","",$N$26)</x:f>
      </x:c>
      <x:c r="D1277" s="88" t="str">
        <x:f>IF(C1277="","",I1257)</x:f>
      </x:c>
      <x:c r="E1277" s="88" t="str">
        <x:f>IF(C1277="","",ROUND(D1277*$P$26/12,2))</x:f>
      </x:c>
      <x:c r="F1277" s="88" t="str">
        <x:f>IF(C1277="","",MIN(D1277+E1277,$Q$26))</x:f>
      </x:c>
      <x:c r="G1277" s="88" t="str">
        <x:f>IF(C1277="","",MIN(MAX(0,D1277+E1277-F1277),SUMIFS(SONDERZAHLUNGEN!$E$9:$E$128,SONDERZAHLUNGEN!$B$9:$B$128,C1277,SONDERZAHLUNGEN!$C$9:$C$128,A1277,SONDERZAHLUNGEN!$H$9:$H$128,"OK",SONDERZAHLUNGEN!$F$9:$F$128,"Ja")))</x:f>
      </x:c>
      <x:c r="H1277" s="88" t="str">
        <x:f>IF(C1277="","",MIN(MAX(0,D1277+E1277-F1277-G1277),MAX(0,IF(MONATSBUDGET!$C$70="",0,MONATSBUDGET!$C$70)-SUM(F1260:F1279)-SUM(H1260:H1276))))</x:f>
      </x:c>
      <x:c r="I1277" s="88" t="str">
        <x:f>IF(C1277="","",MAX(0,ROUND(D1277+E1277-F1277-G1277-H1277,2)))</x:f>
      </x:c>
      <x:c r="J1277" s="88" t="str">
        <x:f>IF(C1277="","",F1277+G1277+H1277)</x:f>
      </x:c>
      <x:c r="K1277" s="88" t="str">
        <x:f>IF(C1277="","",MAX(0,SUMIFS(SONDERZAHLUNGEN!$E$9:$E$128,SONDERZAHLUNGEN!$B$9:$B$128,C1277,SONDERZAHLUNGEN!$C$9:$C$128,A1277,SONDERZAHLUNGEN!$H$9:$H$128,"OK",SONDERZAHLUNGEN!$F$9:$F$128,"Ja")-G1277))</x:f>
      </x:c>
    </x:row>
    <x:row r="1278" ht="19" customHeight="1">
      <x:c r="A1278" s="90" t="n">
        <x:f>MONATSBUDGET!$A$70</x:f>
        <x:v>48122</x:v>
      </x:c>
      <x:c r="B1278" t="n">
        <x:f>19</x:f>
        <x:v>19</x:v>
      </x:c>
      <x:c r="C1278" t="str">
        <x:f>IF($N$27="","",$N$27)</x:f>
      </x:c>
      <x:c r="D1278" s="88" t="str">
        <x:f>IF(C1278="","",I1258)</x:f>
      </x:c>
      <x:c r="E1278" s="88" t="str">
        <x:f>IF(C1278="","",ROUND(D1278*$P$27/12,2))</x:f>
      </x:c>
      <x:c r="F1278" s="88" t="str">
        <x:f>IF(C1278="","",MIN(D1278+E1278,$Q$27))</x:f>
      </x:c>
      <x:c r="G1278" s="88" t="str">
        <x:f>IF(C1278="","",MIN(MAX(0,D1278+E1278-F1278),SUMIFS(SONDERZAHLUNGEN!$E$9:$E$128,SONDERZAHLUNGEN!$B$9:$B$128,C1278,SONDERZAHLUNGEN!$C$9:$C$128,A1278,SONDERZAHLUNGEN!$H$9:$H$128,"OK",SONDERZAHLUNGEN!$F$9:$F$128,"Ja")))</x:f>
      </x:c>
      <x:c r="H1278" s="88" t="str">
        <x:f>IF(C1278="","",MIN(MAX(0,D1278+E1278-F1278-G1278),MAX(0,IF(MONATSBUDGET!$C$70="",0,MONATSBUDGET!$C$70)-SUM(F1260:F1279)-SUM(H1260:H1277))))</x:f>
      </x:c>
      <x:c r="I1278" s="88" t="str">
        <x:f>IF(C1278="","",MAX(0,ROUND(D1278+E1278-F1278-G1278-H1278,2)))</x:f>
      </x:c>
      <x:c r="J1278" s="88" t="str">
        <x:f>IF(C1278="","",F1278+G1278+H1278)</x:f>
      </x:c>
      <x:c r="K1278" s="88" t="str">
        <x:f>IF(C1278="","",MAX(0,SUMIFS(SONDERZAHLUNGEN!$E$9:$E$128,SONDERZAHLUNGEN!$B$9:$B$128,C1278,SONDERZAHLUNGEN!$C$9:$C$128,A1278,SONDERZAHLUNGEN!$H$9:$H$128,"OK",SONDERZAHLUNGEN!$F$9:$F$128,"Ja")-G1278))</x:f>
      </x:c>
    </x:row>
    <x:row r="1279" ht="19" customHeight="1">
      <x:c r="A1279" s="90" t="n">
        <x:f>MONATSBUDGET!$A$70</x:f>
        <x:v>48122</x:v>
      </x:c>
      <x:c r="B1279" t="n">
        <x:f>20</x:f>
        <x:v>20</x:v>
      </x:c>
      <x:c r="C1279" t="str">
        <x:f>IF($N$28="","",$N$28)</x:f>
      </x:c>
      <x:c r="D1279" s="88" t="str">
        <x:f>IF(C1279="","",I1259)</x:f>
      </x:c>
      <x:c r="E1279" s="88" t="str">
        <x:f>IF(C1279="","",ROUND(D1279*$P$28/12,2))</x:f>
      </x:c>
      <x:c r="F1279" s="88" t="str">
        <x:f>IF(C1279="","",MIN(D1279+E1279,$Q$28))</x:f>
      </x:c>
      <x:c r="G1279" s="88" t="str">
        <x:f>IF(C1279="","",MIN(MAX(0,D1279+E1279-F1279),SUMIFS(SONDERZAHLUNGEN!$E$9:$E$128,SONDERZAHLUNGEN!$B$9:$B$128,C1279,SONDERZAHLUNGEN!$C$9:$C$128,A1279,SONDERZAHLUNGEN!$H$9:$H$128,"OK",SONDERZAHLUNGEN!$F$9:$F$128,"Ja")))</x:f>
      </x:c>
      <x:c r="H1279" s="88" t="str">
        <x:f>IF(C1279="","",MIN(MAX(0,D1279+E1279-F1279-G1279),MAX(0,IF(MONATSBUDGET!$C$70="",0,MONATSBUDGET!$C$70)-SUM(F1260:F1279)-SUM(H1260:H1278))))</x:f>
      </x:c>
      <x:c r="I1279" s="88" t="str">
        <x:f>IF(C1279="","",MAX(0,ROUND(D1279+E1279-F1279-G1279-H1279,2)))</x:f>
      </x:c>
      <x:c r="J1279" s="88" t="str">
        <x:f>IF(C1279="","",F1279+G1279+H1279)</x:f>
      </x:c>
      <x:c r="K1279" s="88" t="str">
        <x:f>IF(C1279="","",MAX(0,SUMIFS(SONDERZAHLUNGEN!$E$9:$E$128,SONDERZAHLUNGEN!$B$9:$B$128,C1279,SONDERZAHLUNGEN!$C$9:$C$128,A1279,SONDERZAHLUNGEN!$H$9:$H$128,"OK",SONDERZAHLUNGEN!$F$9:$F$128,"Ja")-G1279))</x:f>
      </x:c>
    </x:row>
    <x:row r="1280" ht="19" customHeight="1">
      <x:c r="A1280" s="90" t="n">
        <x:f>MONATSBUDGET!$A$71</x:f>
        <x:v>48153</x:v>
      </x:c>
      <x:c r="B1280" t="n">
        <x:f>1</x:f>
        <x:v>1</x:v>
      </x:c>
      <x:c r="C1280" t="str">
        <x:f>IF($N$9="","",$N$9)</x:f>
      </x:c>
      <x:c r="D1280" s="88" t="str">
        <x:f>IF(C1280="","",I1260)</x:f>
      </x:c>
      <x:c r="E1280" s="88" t="str">
        <x:f>IF(C1280="","",ROUND(D1280*$P$9/12,2))</x:f>
      </x:c>
      <x:c r="F1280" s="88" t="str">
        <x:f>IF(C1280="","",MIN(D1280+E1280,$Q$9))</x:f>
      </x:c>
      <x:c r="G1280" s="88" t="str">
        <x:f>IF(C1280="","",MIN(MAX(0,D1280+E1280-F1280),SUMIFS(SONDERZAHLUNGEN!$E$9:$E$128,SONDERZAHLUNGEN!$B$9:$B$128,C1280,SONDERZAHLUNGEN!$C$9:$C$128,A1280,SONDERZAHLUNGEN!$H$9:$H$128,"OK",SONDERZAHLUNGEN!$F$9:$F$128,"Ja")))</x:f>
      </x:c>
      <x:c r="H1280" s="88" t="str">
        <x:f>IF(C1280="","",MIN(MAX(0,D1280+E1280-F1280-G1280),MAX(0,IF(MONATSBUDGET!$C$71="",0,MONATSBUDGET!$C$71)-SUM(F1280:F1299)-0)))</x:f>
      </x:c>
      <x:c r="I1280" s="88" t="str">
        <x:f>IF(C1280="","",MAX(0,ROUND(D1280+E1280-F1280-G1280-H1280,2)))</x:f>
      </x:c>
      <x:c r="J1280" s="88" t="str">
        <x:f>IF(C1280="","",F1280+G1280+H1280)</x:f>
      </x:c>
      <x:c r="K1280" s="88" t="str">
        <x:f>IF(C1280="","",MAX(0,SUMIFS(SONDERZAHLUNGEN!$E$9:$E$128,SONDERZAHLUNGEN!$B$9:$B$128,C1280,SONDERZAHLUNGEN!$C$9:$C$128,A1280,SONDERZAHLUNGEN!$H$9:$H$128,"OK",SONDERZAHLUNGEN!$F$9:$F$128,"Ja")-G1280))</x:f>
      </x:c>
    </x:row>
    <x:row r="1281" ht="19" customHeight="1">
      <x:c r="A1281" s="90" t="n">
        <x:f>MONATSBUDGET!$A$71</x:f>
        <x:v>48153</x:v>
      </x:c>
      <x:c r="B1281" t="n">
        <x:f>2</x:f>
        <x:v>2</x:v>
      </x:c>
      <x:c r="C1281" t="str">
        <x:f>IF($N$10="","",$N$10)</x:f>
      </x:c>
      <x:c r="D1281" s="88" t="str">
        <x:f>IF(C1281="","",I1261)</x:f>
      </x:c>
      <x:c r="E1281" s="88" t="str">
        <x:f>IF(C1281="","",ROUND(D1281*$P$10/12,2))</x:f>
      </x:c>
      <x:c r="F1281" s="88" t="str">
        <x:f>IF(C1281="","",MIN(D1281+E1281,$Q$10))</x:f>
      </x:c>
      <x:c r="G1281" s="88" t="str">
        <x:f>IF(C1281="","",MIN(MAX(0,D1281+E1281-F1281),SUMIFS(SONDERZAHLUNGEN!$E$9:$E$128,SONDERZAHLUNGEN!$B$9:$B$128,C1281,SONDERZAHLUNGEN!$C$9:$C$128,A1281,SONDERZAHLUNGEN!$H$9:$H$128,"OK",SONDERZAHLUNGEN!$F$9:$F$128,"Ja")))</x:f>
      </x:c>
      <x:c r="H1281" s="88" t="str">
        <x:f>IF(C1281="","",MIN(MAX(0,D1281+E1281-F1281-G1281),MAX(0,IF(MONATSBUDGET!$C$71="",0,MONATSBUDGET!$C$71)-SUM(F1280:F1299)-SUM(H1280:H1280))))</x:f>
      </x:c>
      <x:c r="I1281" s="88" t="str">
        <x:f>IF(C1281="","",MAX(0,ROUND(D1281+E1281-F1281-G1281-H1281,2)))</x:f>
      </x:c>
      <x:c r="J1281" s="88" t="str">
        <x:f>IF(C1281="","",F1281+G1281+H1281)</x:f>
      </x:c>
      <x:c r="K1281" s="88" t="str">
        <x:f>IF(C1281="","",MAX(0,SUMIFS(SONDERZAHLUNGEN!$E$9:$E$128,SONDERZAHLUNGEN!$B$9:$B$128,C1281,SONDERZAHLUNGEN!$C$9:$C$128,A1281,SONDERZAHLUNGEN!$H$9:$H$128,"OK",SONDERZAHLUNGEN!$F$9:$F$128,"Ja")-G1281))</x:f>
      </x:c>
    </x:row>
    <x:row r="1282" ht="19" customHeight="1">
      <x:c r="A1282" s="90" t="n">
        <x:f>MONATSBUDGET!$A$71</x:f>
        <x:v>48153</x:v>
      </x:c>
      <x:c r="B1282" t="n">
        <x:f>3</x:f>
        <x:v>3</x:v>
      </x:c>
      <x:c r="C1282" t="str">
        <x:f>IF($N$11="","",$N$11)</x:f>
      </x:c>
      <x:c r="D1282" s="88" t="str">
        <x:f>IF(C1282="","",I1262)</x:f>
      </x:c>
      <x:c r="E1282" s="88" t="str">
        <x:f>IF(C1282="","",ROUND(D1282*$P$11/12,2))</x:f>
      </x:c>
      <x:c r="F1282" s="88" t="str">
        <x:f>IF(C1282="","",MIN(D1282+E1282,$Q$11))</x:f>
      </x:c>
      <x:c r="G1282" s="88" t="str">
        <x:f>IF(C1282="","",MIN(MAX(0,D1282+E1282-F1282),SUMIFS(SONDERZAHLUNGEN!$E$9:$E$128,SONDERZAHLUNGEN!$B$9:$B$128,C1282,SONDERZAHLUNGEN!$C$9:$C$128,A1282,SONDERZAHLUNGEN!$H$9:$H$128,"OK",SONDERZAHLUNGEN!$F$9:$F$128,"Ja")))</x:f>
      </x:c>
      <x:c r="H1282" s="88" t="str">
        <x:f>IF(C1282="","",MIN(MAX(0,D1282+E1282-F1282-G1282),MAX(0,IF(MONATSBUDGET!$C$71="",0,MONATSBUDGET!$C$71)-SUM(F1280:F1299)-SUM(H1280:H1281))))</x:f>
      </x:c>
      <x:c r="I1282" s="88" t="str">
        <x:f>IF(C1282="","",MAX(0,ROUND(D1282+E1282-F1282-G1282-H1282,2)))</x:f>
      </x:c>
      <x:c r="J1282" s="88" t="str">
        <x:f>IF(C1282="","",F1282+G1282+H1282)</x:f>
      </x:c>
      <x:c r="K1282" s="88" t="str">
        <x:f>IF(C1282="","",MAX(0,SUMIFS(SONDERZAHLUNGEN!$E$9:$E$128,SONDERZAHLUNGEN!$B$9:$B$128,C1282,SONDERZAHLUNGEN!$C$9:$C$128,A1282,SONDERZAHLUNGEN!$H$9:$H$128,"OK",SONDERZAHLUNGEN!$F$9:$F$128,"Ja")-G1282))</x:f>
      </x:c>
    </x:row>
    <x:row r="1283" ht="19" customHeight="1">
      <x:c r="A1283" s="90" t="n">
        <x:f>MONATSBUDGET!$A$71</x:f>
        <x:v>48153</x:v>
      </x:c>
      <x:c r="B1283" t="n">
        <x:f>4</x:f>
        <x:v>4</x:v>
      </x:c>
      <x:c r="C1283" t="str">
        <x:f>IF($N$12="","",$N$12)</x:f>
      </x:c>
      <x:c r="D1283" s="88" t="str">
        <x:f>IF(C1283="","",I1263)</x:f>
      </x:c>
      <x:c r="E1283" s="88" t="str">
        <x:f>IF(C1283="","",ROUND(D1283*$P$12/12,2))</x:f>
      </x:c>
      <x:c r="F1283" s="88" t="str">
        <x:f>IF(C1283="","",MIN(D1283+E1283,$Q$12))</x:f>
      </x:c>
      <x:c r="G1283" s="88" t="str">
        <x:f>IF(C1283="","",MIN(MAX(0,D1283+E1283-F1283),SUMIFS(SONDERZAHLUNGEN!$E$9:$E$128,SONDERZAHLUNGEN!$B$9:$B$128,C1283,SONDERZAHLUNGEN!$C$9:$C$128,A1283,SONDERZAHLUNGEN!$H$9:$H$128,"OK",SONDERZAHLUNGEN!$F$9:$F$128,"Ja")))</x:f>
      </x:c>
      <x:c r="H1283" s="88" t="str">
        <x:f>IF(C1283="","",MIN(MAX(0,D1283+E1283-F1283-G1283),MAX(0,IF(MONATSBUDGET!$C$71="",0,MONATSBUDGET!$C$71)-SUM(F1280:F1299)-SUM(H1280:H1282))))</x:f>
      </x:c>
      <x:c r="I1283" s="88" t="str">
        <x:f>IF(C1283="","",MAX(0,ROUND(D1283+E1283-F1283-G1283-H1283,2)))</x:f>
      </x:c>
      <x:c r="J1283" s="88" t="str">
        <x:f>IF(C1283="","",F1283+G1283+H1283)</x:f>
      </x:c>
      <x:c r="K1283" s="88" t="str">
        <x:f>IF(C1283="","",MAX(0,SUMIFS(SONDERZAHLUNGEN!$E$9:$E$128,SONDERZAHLUNGEN!$B$9:$B$128,C1283,SONDERZAHLUNGEN!$C$9:$C$128,A1283,SONDERZAHLUNGEN!$H$9:$H$128,"OK",SONDERZAHLUNGEN!$F$9:$F$128,"Ja")-G1283))</x:f>
      </x:c>
    </x:row>
    <x:row r="1284" ht="19" customHeight="1">
      <x:c r="A1284" s="90" t="n">
        <x:f>MONATSBUDGET!$A$71</x:f>
        <x:v>48153</x:v>
      </x:c>
      <x:c r="B1284" t="n">
        <x:f>5</x:f>
        <x:v>5</x:v>
      </x:c>
      <x:c r="C1284" t="str">
        <x:f>IF($N$13="","",$N$13)</x:f>
      </x:c>
      <x:c r="D1284" s="88" t="str">
        <x:f>IF(C1284="","",I1264)</x:f>
      </x:c>
      <x:c r="E1284" s="88" t="str">
        <x:f>IF(C1284="","",ROUND(D1284*$P$13/12,2))</x:f>
      </x:c>
      <x:c r="F1284" s="88" t="str">
        <x:f>IF(C1284="","",MIN(D1284+E1284,$Q$13))</x:f>
      </x:c>
      <x:c r="G1284" s="88" t="str">
        <x:f>IF(C1284="","",MIN(MAX(0,D1284+E1284-F1284),SUMIFS(SONDERZAHLUNGEN!$E$9:$E$128,SONDERZAHLUNGEN!$B$9:$B$128,C1284,SONDERZAHLUNGEN!$C$9:$C$128,A1284,SONDERZAHLUNGEN!$H$9:$H$128,"OK",SONDERZAHLUNGEN!$F$9:$F$128,"Ja")))</x:f>
      </x:c>
      <x:c r="H1284" s="88" t="str">
        <x:f>IF(C1284="","",MIN(MAX(0,D1284+E1284-F1284-G1284),MAX(0,IF(MONATSBUDGET!$C$71="",0,MONATSBUDGET!$C$71)-SUM(F1280:F1299)-SUM(H1280:H1283))))</x:f>
      </x:c>
      <x:c r="I1284" s="88" t="str">
        <x:f>IF(C1284="","",MAX(0,ROUND(D1284+E1284-F1284-G1284-H1284,2)))</x:f>
      </x:c>
      <x:c r="J1284" s="88" t="str">
        <x:f>IF(C1284="","",F1284+G1284+H1284)</x:f>
      </x:c>
      <x:c r="K1284" s="88" t="str">
        <x:f>IF(C1284="","",MAX(0,SUMIFS(SONDERZAHLUNGEN!$E$9:$E$128,SONDERZAHLUNGEN!$B$9:$B$128,C1284,SONDERZAHLUNGEN!$C$9:$C$128,A1284,SONDERZAHLUNGEN!$H$9:$H$128,"OK",SONDERZAHLUNGEN!$F$9:$F$128,"Ja")-G1284))</x:f>
      </x:c>
    </x:row>
    <x:row r="1285" ht="19" customHeight="1">
      <x:c r="A1285" s="90" t="n">
        <x:f>MONATSBUDGET!$A$71</x:f>
        <x:v>48153</x:v>
      </x:c>
      <x:c r="B1285" t="n">
        <x:f>6</x:f>
        <x:v>6</x:v>
      </x:c>
      <x:c r="C1285" t="str">
        <x:f>IF($N$14="","",$N$14)</x:f>
      </x:c>
      <x:c r="D1285" s="88" t="str">
        <x:f>IF(C1285="","",I1265)</x:f>
      </x:c>
      <x:c r="E1285" s="88" t="str">
        <x:f>IF(C1285="","",ROUND(D1285*$P$14/12,2))</x:f>
      </x:c>
      <x:c r="F1285" s="88" t="str">
        <x:f>IF(C1285="","",MIN(D1285+E1285,$Q$14))</x:f>
      </x:c>
      <x:c r="G1285" s="88" t="str">
        <x:f>IF(C1285="","",MIN(MAX(0,D1285+E1285-F1285),SUMIFS(SONDERZAHLUNGEN!$E$9:$E$128,SONDERZAHLUNGEN!$B$9:$B$128,C1285,SONDERZAHLUNGEN!$C$9:$C$128,A1285,SONDERZAHLUNGEN!$H$9:$H$128,"OK",SONDERZAHLUNGEN!$F$9:$F$128,"Ja")))</x:f>
      </x:c>
      <x:c r="H1285" s="88" t="str">
        <x:f>IF(C1285="","",MIN(MAX(0,D1285+E1285-F1285-G1285),MAX(0,IF(MONATSBUDGET!$C$71="",0,MONATSBUDGET!$C$71)-SUM(F1280:F1299)-SUM(H1280:H1284))))</x:f>
      </x:c>
      <x:c r="I1285" s="88" t="str">
        <x:f>IF(C1285="","",MAX(0,ROUND(D1285+E1285-F1285-G1285-H1285,2)))</x:f>
      </x:c>
      <x:c r="J1285" s="88" t="str">
        <x:f>IF(C1285="","",F1285+G1285+H1285)</x:f>
      </x:c>
      <x:c r="K1285" s="88" t="str">
        <x:f>IF(C1285="","",MAX(0,SUMIFS(SONDERZAHLUNGEN!$E$9:$E$128,SONDERZAHLUNGEN!$B$9:$B$128,C1285,SONDERZAHLUNGEN!$C$9:$C$128,A1285,SONDERZAHLUNGEN!$H$9:$H$128,"OK",SONDERZAHLUNGEN!$F$9:$F$128,"Ja")-G1285))</x:f>
      </x:c>
    </x:row>
    <x:row r="1286" ht="19" customHeight="1">
      <x:c r="A1286" s="90" t="n">
        <x:f>MONATSBUDGET!$A$71</x:f>
        <x:v>48153</x:v>
      </x:c>
      <x:c r="B1286" t="n">
        <x:f>7</x:f>
        <x:v>7</x:v>
      </x:c>
      <x:c r="C1286" t="str">
        <x:f>IF($N$15="","",$N$15)</x:f>
      </x:c>
      <x:c r="D1286" s="88" t="str">
        <x:f>IF(C1286="","",I1266)</x:f>
      </x:c>
      <x:c r="E1286" s="88" t="str">
        <x:f>IF(C1286="","",ROUND(D1286*$P$15/12,2))</x:f>
      </x:c>
      <x:c r="F1286" s="88" t="str">
        <x:f>IF(C1286="","",MIN(D1286+E1286,$Q$15))</x:f>
      </x:c>
      <x:c r="G1286" s="88" t="str">
        <x:f>IF(C1286="","",MIN(MAX(0,D1286+E1286-F1286),SUMIFS(SONDERZAHLUNGEN!$E$9:$E$128,SONDERZAHLUNGEN!$B$9:$B$128,C1286,SONDERZAHLUNGEN!$C$9:$C$128,A1286,SONDERZAHLUNGEN!$H$9:$H$128,"OK",SONDERZAHLUNGEN!$F$9:$F$128,"Ja")))</x:f>
      </x:c>
      <x:c r="H1286" s="88" t="str">
        <x:f>IF(C1286="","",MIN(MAX(0,D1286+E1286-F1286-G1286),MAX(0,IF(MONATSBUDGET!$C$71="",0,MONATSBUDGET!$C$71)-SUM(F1280:F1299)-SUM(H1280:H1285))))</x:f>
      </x:c>
      <x:c r="I1286" s="88" t="str">
        <x:f>IF(C1286="","",MAX(0,ROUND(D1286+E1286-F1286-G1286-H1286,2)))</x:f>
      </x:c>
      <x:c r="J1286" s="88" t="str">
        <x:f>IF(C1286="","",F1286+G1286+H1286)</x:f>
      </x:c>
      <x:c r="K1286" s="88" t="str">
        <x:f>IF(C1286="","",MAX(0,SUMIFS(SONDERZAHLUNGEN!$E$9:$E$128,SONDERZAHLUNGEN!$B$9:$B$128,C1286,SONDERZAHLUNGEN!$C$9:$C$128,A1286,SONDERZAHLUNGEN!$H$9:$H$128,"OK",SONDERZAHLUNGEN!$F$9:$F$128,"Ja")-G1286))</x:f>
      </x:c>
    </x:row>
    <x:row r="1287" ht="19" customHeight="1">
      <x:c r="A1287" s="90" t="n">
        <x:f>MONATSBUDGET!$A$71</x:f>
        <x:v>48153</x:v>
      </x:c>
      <x:c r="B1287" t="n">
        <x:f>8</x:f>
        <x:v>8</x:v>
      </x:c>
      <x:c r="C1287" t="str">
        <x:f>IF($N$16="","",$N$16)</x:f>
      </x:c>
      <x:c r="D1287" s="88" t="str">
        <x:f>IF(C1287="","",I1267)</x:f>
      </x:c>
      <x:c r="E1287" s="88" t="str">
        <x:f>IF(C1287="","",ROUND(D1287*$P$16/12,2))</x:f>
      </x:c>
      <x:c r="F1287" s="88" t="str">
        <x:f>IF(C1287="","",MIN(D1287+E1287,$Q$16))</x:f>
      </x:c>
      <x:c r="G1287" s="88" t="str">
        <x:f>IF(C1287="","",MIN(MAX(0,D1287+E1287-F1287),SUMIFS(SONDERZAHLUNGEN!$E$9:$E$128,SONDERZAHLUNGEN!$B$9:$B$128,C1287,SONDERZAHLUNGEN!$C$9:$C$128,A1287,SONDERZAHLUNGEN!$H$9:$H$128,"OK",SONDERZAHLUNGEN!$F$9:$F$128,"Ja")))</x:f>
      </x:c>
      <x:c r="H1287" s="88" t="str">
        <x:f>IF(C1287="","",MIN(MAX(0,D1287+E1287-F1287-G1287),MAX(0,IF(MONATSBUDGET!$C$71="",0,MONATSBUDGET!$C$71)-SUM(F1280:F1299)-SUM(H1280:H1286))))</x:f>
      </x:c>
      <x:c r="I1287" s="88" t="str">
        <x:f>IF(C1287="","",MAX(0,ROUND(D1287+E1287-F1287-G1287-H1287,2)))</x:f>
      </x:c>
      <x:c r="J1287" s="88" t="str">
        <x:f>IF(C1287="","",F1287+G1287+H1287)</x:f>
      </x:c>
      <x:c r="K1287" s="88" t="str">
        <x:f>IF(C1287="","",MAX(0,SUMIFS(SONDERZAHLUNGEN!$E$9:$E$128,SONDERZAHLUNGEN!$B$9:$B$128,C1287,SONDERZAHLUNGEN!$C$9:$C$128,A1287,SONDERZAHLUNGEN!$H$9:$H$128,"OK",SONDERZAHLUNGEN!$F$9:$F$128,"Ja")-G1287))</x:f>
      </x:c>
    </x:row>
    <x:row r="1288" ht="19" customHeight="1">
      <x:c r="A1288" s="90" t="n">
        <x:f>MONATSBUDGET!$A$71</x:f>
        <x:v>48153</x:v>
      </x:c>
      <x:c r="B1288" t="n">
        <x:f>9</x:f>
        <x:v>9</x:v>
      </x:c>
      <x:c r="C1288" t="str">
        <x:f>IF($N$17="","",$N$17)</x:f>
      </x:c>
      <x:c r="D1288" s="88" t="str">
        <x:f>IF(C1288="","",I1268)</x:f>
      </x:c>
      <x:c r="E1288" s="88" t="str">
        <x:f>IF(C1288="","",ROUND(D1288*$P$17/12,2))</x:f>
      </x:c>
      <x:c r="F1288" s="88" t="str">
        <x:f>IF(C1288="","",MIN(D1288+E1288,$Q$17))</x:f>
      </x:c>
      <x:c r="G1288" s="88" t="str">
        <x:f>IF(C1288="","",MIN(MAX(0,D1288+E1288-F1288),SUMIFS(SONDERZAHLUNGEN!$E$9:$E$128,SONDERZAHLUNGEN!$B$9:$B$128,C1288,SONDERZAHLUNGEN!$C$9:$C$128,A1288,SONDERZAHLUNGEN!$H$9:$H$128,"OK",SONDERZAHLUNGEN!$F$9:$F$128,"Ja")))</x:f>
      </x:c>
      <x:c r="H1288" s="88" t="str">
        <x:f>IF(C1288="","",MIN(MAX(0,D1288+E1288-F1288-G1288),MAX(0,IF(MONATSBUDGET!$C$71="",0,MONATSBUDGET!$C$71)-SUM(F1280:F1299)-SUM(H1280:H1287))))</x:f>
      </x:c>
      <x:c r="I1288" s="88" t="str">
        <x:f>IF(C1288="","",MAX(0,ROUND(D1288+E1288-F1288-G1288-H1288,2)))</x:f>
      </x:c>
      <x:c r="J1288" s="88" t="str">
        <x:f>IF(C1288="","",F1288+G1288+H1288)</x:f>
      </x:c>
      <x:c r="K1288" s="88" t="str">
        <x:f>IF(C1288="","",MAX(0,SUMIFS(SONDERZAHLUNGEN!$E$9:$E$128,SONDERZAHLUNGEN!$B$9:$B$128,C1288,SONDERZAHLUNGEN!$C$9:$C$128,A1288,SONDERZAHLUNGEN!$H$9:$H$128,"OK",SONDERZAHLUNGEN!$F$9:$F$128,"Ja")-G1288))</x:f>
      </x:c>
    </x:row>
    <x:row r="1289" ht="19" customHeight="1">
      <x:c r="A1289" s="90" t="n">
        <x:f>MONATSBUDGET!$A$71</x:f>
        <x:v>48153</x:v>
      </x:c>
      <x:c r="B1289" t="n">
        <x:f>10</x:f>
        <x:v>10</x:v>
      </x:c>
      <x:c r="C1289" t="str">
        <x:f>IF($N$18="","",$N$18)</x:f>
      </x:c>
      <x:c r="D1289" s="88" t="str">
        <x:f>IF(C1289="","",I1269)</x:f>
      </x:c>
      <x:c r="E1289" s="88" t="str">
        <x:f>IF(C1289="","",ROUND(D1289*$P$18/12,2))</x:f>
      </x:c>
      <x:c r="F1289" s="88" t="str">
        <x:f>IF(C1289="","",MIN(D1289+E1289,$Q$18))</x:f>
      </x:c>
      <x:c r="G1289" s="88" t="str">
        <x:f>IF(C1289="","",MIN(MAX(0,D1289+E1289-F1289),SUMIFS(SONDERZAHLUNGEN!$E$9:$E$128,SONDERZAHLUNGEN!$B$9:$B$128,C1289,SONDERZAHLUNGEN!$C$9:$C$128,A1289,SONDERZAHLUNGEN!$H$9:$H$128,"OK",SONDERZAHLUNGEN!$F$9:$F$128,"Ja")))</x:f>
      </x:c>
      <x:c r="H1289" s="88" t="str">
        <x:f>IF(C1289="","",MIN(MAX(0,D1289+E1289-F1289-G1289),MAX(0,IF(MONATSBUDGET!$C$71="",0,MONATSBUDGET!$C$71)-SUM(F1280:F1299)-SUM(H1280:H1288))))</x:f>
      </x:c>
      <x:c r="I1289" s="88" t="str">
        <x:f>IF(C1289="","",MAX(0,ROUND(D1289+E1289-F1289-G1289-H1289,2)))</x:f>
      </x:c>
      <x:c r="J1289" s="88" t="str">
        <x:f>IF(C1289="","",F1289+G1289+H1289)</x:f>
      </x:c>
      <x:c r="K1289" s="88" t="str">
        <x:f>IF(C1289="","",MAX(0,SUMIFS(SONDERZAHLUNGEN!$E$9:$E$128,SONDERZAHLUNGEN!$B$9:$B$128,C1289,SONDERZAHLUNGEN!$C$9:$C$128,A1289,SONDERZAHLUNGEN!$H$9:$H$128,"OK",SONDERZAHLUNGEN!$F$9:$F$128,"Ja")-G1289))</x:f>
      </x:c>
    </x:row>
    <x:row r="1290" ht="19" customHeight="1">
      <x:c r="A1290" s="90" t="n">
        <x:f>MONATSBUDGET!$A$71</x:f>
        <x:v>48153</x:v>
      </x:c>
      <x:c r="B1290" t="n">
        <x:f>11</x:f>
        <x:v>11</x:v>
      </x:c>
      <x:c r="C1290" t="str">
        <x:f>IF($N$19="","",$N$19)</x:f>
      </x:c>
      <x:c r="D1290" s="88" t="str">
        <x:f>IF(C1290="","",I1270)</x:f>
      </x:c>
      <x:c r="E1290" s="88" t="str">
        <x:f>IF(C1290="","",ROUND(D1290*$P$19/12,2))</x:f>
      </x:c>
      <x:c r="F1290" s="88" t="str">
        <x:f>IF(C1290="","",MIN(D1290+E1290,$Q$19))</x:f>
      </x:c>
      <x:c r="G1290" s="88" t="str">
        <x:f>IF(C1290="","",MIN(MAX(0,D1290+E1290-F1290),SUMIFS(SONDERZAHLUNGEN!$E$9:$E$128,SONDERZAHLUNGEN!$B$9:$B$128,C1290,SONDERZAHLUNGEN!$C$9:$C$128,A1290,SONDERZAHLUNGEN!$H$9:$H$128,"OK",SONDERZAHLUNGEN!$F$9:$F$128,"Ja")))</x:f>
      </x:c>
      <x:c r="H1290" s="88" t="str">
        <x:f>IF(C1290="","",MIN(MAX(0,D1290+E1290-F1290-G1290),MAX(0,IF(MONATSBUDGET!$C$71="",0,MONATSBUDGET!$C$71)-SUM(F1280:F1299)-SUM(H1280:H1289))))</x:f>
      </x:c>
      <x:c r="I1290" s="88" t="str">
        <x:f>IF(C1290="","",MAX(0,ROUND(D1290+E1290-F1290-G1290-H1290,2)))</x:f>
      </x:c>
      <x:c r="J1290" s="88" t="str">
        <x:f>IF(C1290="","",F1290+G1290+H1290)</x:f>
      </x:c>
      <x:c r="K1290" s="88" t="str">
        <x:f>IF(C1290="","",MAX(0,SUMIFS(SONDERZAHLUNGEN!$E$9:$E$128,SONDERZAHLUNGEN!$B$9:$B$128,C1290,SONDERZAHLUNGEN!$C$9:$C$128,A1290,SONDERZAHLUNGEN!$H$9:$H$128,"OK",SONDERZAHLUNGEN!$F$9:$F$128,"Ja")-G1290))</x:f>
      </x:c>
    </x:row>
    <x:row r="1291" ht="19" customHeight="1">
      <x:c r="A1291" s="90" t="n">
        <x:f>MONATSBUDGET!$A$71</x:f>
        <x:v>48153</x:v>
      </x:c>
      <x:c r="B1291" t="n">
        <x:f>12</x:f>
        <x:v>12</x:v>
      </x:c>
      <x:c r="C1291" t="str">
        <x:f>IF($N$20="","",$N$20)</x:f>
      </x:c>
      <x:c r="D1291" s="88" t="str">
        <x:f>IF(C1291="","",I1271)</x:f>
      </x:c>
      <x:c r="E1291" s="88" t="str">
        <x:f>IF(C1291="","",ROUND(D1291*$P$20/12,2))</x:f>
      </x:c>
      <x:c r="F1291" s="88" t="str">
        <x:f>IF(C1291="","",MIN(D1291+E1291,$Q$20))</x:f>
      </x:c>
      <x:c r="G1291" s="88" t="str">
        <x:f>IF(C1291="","",MIN(MAX(0,D1291+E1291-F1291),SUMIFS(SONDERZAHLUNGEN!$E$9:$E$128,SONDERZAHLUNGEN!$B$9:$B$128,C1291,SONDERZAHLUNGEN!$C$9:$C$128,A1291,SONDERZAHLUNGEN!$H$9:$H$128,"OK",SONDERZAHLUNGEN!$F$9:$F$128,"Ja")))</x:f>
      </x:c>
      <x:c r="H1291" s="88" t="str">
        <x:f>IF(C1291="","",MIN(MAX(0,D1291+E1291-F1291-G1291),MAX(0,IF(MONATSBUDGET!$C$71="",0,MONATSBUDGET!$C$71)-SUM(F1280:F1299)-SUM(H1280:H1290))))</x:f>
      </x:c>
      <x:c r="I1291" s="88" t="str">
        <x:f>IF(C1291="","",MAX(0,ROUND(D1291+E1291-F1291-G1291-H1291,2)))</x:f>
      </x:c>
      <x:c r="J1291" s="88" t="str">
        <x:f>IF(C1291="","",F1291+G1291+H1291)</x:f>
      </x:c>
      <x:c r="K1291" s="88" t="str">
        <x:f>IF(C1291="","",MAX(0,SUMIFS(SONDERZAHLUNGEN!$E$9:$E$128,SONDERZAHLUNGEN!$B$9:$B$128,C1291,SONDERZAHLUNGEN!$C$9:$C$128,A1291,SONDERZAHLUNGEN!$H$9:$H$128,"OK",SONDERZAHLUNGEN!$F$9:$F$128,"Ja")-G1291))</x:f>
      </x:c>
    </x:row>
    <x:row r="1292" ht="19" customHeight="1">
      <x:c r="A1292" s="90" t="n">
        <x:f>MONATSBUDGET!$A$71</x:f>
        <x:v>48153</x:v>
      </x:c>
      <x:c r="B1292" t="n">
        <x:f>13</x:f>
        <x:v>13</x:v>
      </x:c>
      <x:c r="C1292" t="str">
        <x:f>IF($N$21="","",$N$21)</x:f>
      </x:c>
      <x:c r="D1292" s="88" t="str">
        <x:f>IF(C1292="","",I1272)</x:f>
      </x:c>
      <x:c r="E1292" s="88" t="str">
        <x:f>IF(C1292="","",ROUND(D1292*$P$21/12,2))</x:f>
      </x:c>
      <x:c r="F1292" s="88" t="str">
        <x:f>IF(C1292="","",MIN(D1292+E1292,$Q$21))</x:f>
      </x:c>
      <x:c r="G1292" s="88" t="str">
        <x:f>IF(C1292="","",MIN(MAX(0,D1292+E1292-F1292),SUMIFS(SONDERZAHLUNGEN!$E$9:$E$128,SONDERZAHLUNGEN!$B$9:$B$128,C1292,SONDERZAHLUNGEN!$C$9:$C$128,A1292,SONDERZAHLUNGEN!$H$9:$H$128,"OK",SONDERZAHLUNGEN!$F$9:$F$128,"Ja")))</x:f>
      </x:c>
      <x:c r="H1292" s="88" t="str">
        <x:f>IF(C1292="","",MIN(MAX(0,D1292+E1292-F1292-G1292),MAX(0,IF(MONATSBUDGET!$C$71="",0,MONATSBUDGET!$C$71)-SUM(F1280:F1299)-SUM(H1280:H1291))))</x:f>
      </x:c>
      <x:c r="I1292" s="88" t="str">
        <x:f>IF(C1292="","",MAX(0,ROUND(D1292+E1292-F1292-G1292-H1292,2)))</x:f>
      </x:c>
      <x:c r="J1292" s="88" t="str">
        <x:f>IF(C1292="","",F1292+G1292+H1292)</x:f>
      </x:c>
      <x:c r="K1292" s="88" t="str">
        <x:f>IF(C1292="","",MAX(0,SUMIFS(SONDERZAHLUNGEN!$E$9:$E$128,SONDERZAHLUNGEN!$B$9:$B$128,C1292,SONDERZAHLUNGEN!$C$9:$C$128,A1292,SONDERZAHLUNGEN!$H$9:$H$128,"OK",SONDERZAHLUNGEN!$F$9:$F$128,"Ja")-G1292))</x:f>
      </x:c>
    </x:row>
    <x:row r="1293" ht="19" customHeight="1">
      <x:c r="A1293" s="90" t="n">
        <x:f>MONATSBUDGET!$A$71</x:f>
        <x:v>48153</x:v>
      </x:c>
      <x:c r="B1293" t="n">
        <x:f>14</x:f>
        <x:v>14</x:v>
      </x:c>
      <x:c r="C1293" t="str">
        <x:f>IF($N$22="","",$N$22)</x:f>
      </x:c>
      <x:c r="D1293" s="88" t="str">
        <x:f>IF(C1293="","",I1273)</x:f>
      </x:c>
      <x:c r="E1293" s="88" t="str">
        <x:f>IF(C1293="","",ROUND(D1293*$P$22/12,2))</x:f>
      </x:c>
      <x:c r="F1293" s="88" t="str">
        <x:f>IF(C1293="","",MIN(D1293+E1293,$Q$22))</x:f>
      </x:c>
      <x:c r="G1293" s="88" t="str">
        <x:f>IF(C1293="","",MIN(MAX(0,D1293+E1293-F1293),SUMIFS(SONDERZAHLUNGEN!$E$9:$E$128,SONDERZAHLUNGEN!$B$9:$B$128,C1293,SONDERZAHLUNGEN!$C$9:$C$128,A1293,SONDERZAHLUNGEN!$H$9:$H$128,"OK",SONDERZAHLUNGEN!$F$9:$F$128,"Ja")))</x:f>
      </x:c>
      <x:c r="H1293" s="88" t="str">
        <x:f>IF(C1293="","",MIN(MAX(0,D1293+E1293-F1293-G1293),MAX(0,IF(MONATSBUDGET!$C$71="",0,MONATSBUDGET!$C$71)-SUM(F1280:F1299)-SUM(H1280:H1292))))</x:f>
      </x:c>
      <x:c r="I1293" s="88" t="str">
        <x:f>IF(C1293="","",MAX(0,ROUND(D1293+E1293-F1293-G1293-H1293,2)))</x:f>
      </x:c>
      <x:c r="J1293" s="88" t="str">
        <x:f>IF(C1293="","",F1293+G1293+H1293)</x:f>
      </x:c>
      <x:c r="K1293" s="88" t="str">
        <x:f>IF(C1293="","",MAX(0,SUMIFS(SONDERZAHLUNGEN!$E$9:$E$128,SONDERZAHLUNGEN!$B$9:$B$128,C1293,SONDERZAHLUNGEN!$C$9:$C$128,A1293,SONDERZAHLUNGEN!$H$9:$H$128,"OK",SONDERZAHLUNGEN!$F$9:$F$128,"Ja")-G1293))</x:f>
      </x:c>
    </x:row>
    <x:row r="1294" ht="19" customHeight="1">
      <x:c r="A1294" s="90" t="n">
        <x:f>MONATSBUDGET!$A$71</x:f>
        <x:v>48153</x:v>
      </x:c>
      <x:c r="B1294" t="n">
        <x:f>15</x:f>
        <x:v>15</x:v>
      </x:c>
      <x:c r="C1294" t="str">
        <x:f>IF($N$23="","",$N$23)</x:f>
      </x:c>
      <x:c r="D1294" s="88" t="str">
        <x:f>IF(C1294="","",I1274)</x:f>
      </x:c>
      <x:c r="E1294" s="88" t="str">
        <x:f>IF(C1294="","",ROUND(D1294*$P$23/12,2))</x:f>
      </x:c>
      <x:c r="F1294" s="88" t="str">
        <x:f>IF(C1294="","",MIN(D1294+E1294,$Q$23))</x:f>
      </x:c>
      <x:c r="G1294" s="88" t="str">
        <x:f>IF(C1294="","",MIN(MAX(0,D1294+E1294-F1294),SUMIFS(SONDERZAHLUNGEN!$E$9:$E$128,SONDERZAHLUNGEN!$B$9:$B$128,C1294,SONDERZAHLUNGEN!$C$9:$C$128,A1294,SONDERZAHLUNGEN!$H$9:$H$128,"OK",SONDERZAHLUNGEN!$F$9:$F$128,"Ja")))</x:f>
      </x:c>
      <x:c r="H1294" s="88" t="str">
        <x:f>IF(C1294="","",MIN(MAX(0,D1294+E1294-F1294-G1294),MAX(0,IF(MONATSBUDGET!$C$71="",0,MONATSBUDGET!$C$71)-SUM(F1280:F1299)-SUM(H1280:H1293))))</x:f>
      </x:c>
      <x:c r="I1294" s="88" t="str">
        <x:f>IF(C1294="","",MAX(0,ROUND(D1294+E1294-F1294-G1294-H1294,2)))</x:f>
      </x:c>
      <x:c r="J1294" s="88" t="str">
        <x:f>IF(C1294="","",F1294+G1294+H1294)</x:f>
      </x:c>
      <x:c r="K1294" s="88" t="str">
        <x:f>IF(C1294="","",MAX(0,SUMIFS(SONDERZAHLUNGEN!$E$9:$E$128,SONDERZAHLUNGEN!$B$9:$B$128,C1294,SONDERZAHLUNGEN!$C$9:$C$128,A1294,SONDERZAHLUNGEN!$H$9:$H$128,"OK",SONDERZAHLUNGEN!$F$9:$F$128,"Ja")-G1294))</x:f>
      </x:c>
    </x:row>
    <x:row r="1295" ht="19" customHeight="1">
      <x:c r="A1295" s="90" t="n">
        <x:f>MONATSBUDGET!$A$71</x:f>
        <x:v>48153</x:v>
      </x:c>
      <x:c r="B1295" t="n">
        <x:f>16</x:f>
        <x:v>16</x:v>
      </x:c>
      <x:c r="C1295" t="str">
        <x:f>IF($N$24="","",$N$24)</x:f>
      </x:c>
      <x:c r="D1295" s="88" t="str">
        <x:f>IF(C1295="","",I1275)</x:f>
      </x:c>
      <x:c r="E1295" s="88" t="str">
        <x:f>IF(C1295="","",ROUND(D1295*$P$24/12,2))</x:f>
      </x:c>
      <x:c r="F1295" s="88" t="str">
        <x:f>IF(C1295="","",MIN(D1295+E1295,$Q$24))</x:f>
      </x:c>
      <x:c r="G1295" s="88" t="str">
        <x:f>IF(C1295="","",MIN(MAX(0,D1295+E1295-F1295),SUMIFS(SONDERZAHLUNGEN!$E$9:$E$128,SONDERZAHLUNGEN!$B$9:$B$128,C1295,SONDERZAHLUNGEN!$C$9:$C$128,A1295,SONDERZAHLUNGEN!$H$9:$H$128,"OK",SONDERZAHLUNGEN!$F$9:$F$128,"Ja")))</x:f>
      </x:c>
      <x:c r="H1295" s="88" t="str">
        <x:f>IF(C1295="","",MIN(MAX(0,D1295+E1295-F1295-G1295),MAX(0,IF(MONATSBUDGET!$C$71="",0,MONATSBUDGET!$C$71)-SUM(F1280:F1299)-SUM(H1280:H1294))))</x:f>
      </x:c>
      <x:c r="I1295" s="88" t="str">
        <x:f>IF(C1295="","",MAX(0,ROUND(D1295+E1295-F1295-G1295-H1295,2)))</x:f>
      </x:c>
      <x:c r="J1295" s="88" t="str">
        <x:f>IF(C1295="","",F1295+G1295+H1295)</x:f>
      </x:c>
      <x:c r="K1295" s="88" t="str">
        <x:f>IF(C1295="","",MAX(0,SUMIFS(SONDERZAHLUNGEN!$E$9:$E$128,SONDERZAHLUNGEN!$B$9:$B$128,C1295,SONDERZAHLUNGEN!$C$9:$C$128,A1295,SONDERZAHLUNGEN!$H$9:$H$128,"OK",SONDERZAHLUNGEN!$F$9:$F$128,"Ja")-G1295))</x:f>
      </x:c>
    </x:row>
    <x:row r="1296" ht="19" customHeight="1">
      <x:c r="A1296" s="90" t="n">
        <x:f>MONATSBUDGET!$A$71</x:f>
        <x:v>48153</x:v>
      </x:c>
      <x:c r="B1296" t="n">
        <x:f>17</x:f>
        <x:v>17</x:v>
      </x:c>
      <x:c r="C1296" t="str">
        <x:f>IF($N$25="","",$N$25)</x:f>
      </x:c>
      <x:c r="D1296" s="88" t="str">
        <x:f>IF(C1296="","",I1276)</x:f>
      </x:c>
      <x:c r="E1296" s="88" t="str">
        <x:f>IF(C1296="","",ROUND(D1296*$P$25/12,2))</x:f>
      </x:c>
      <x:c r="F1296" s="88" t="str">
        <x:f>IF(C1296="","",MIN(D1296+E1296,$Q$25))</x:f>
      </x:c>
      <x:c r="G1296" s="88" t="str">
        <x:f>IF(C1296="","",MIN(MAX(0,D1296+E1296-F1296),SUMIFS(SONDERZAHLUNGEN!$E$9:$E$128,SONDERZAHLUNGEN!$B$9:$B$128,C1296,SONDERZAHLUNGEN!$C$9:$C$128,A1296,SONDERZAHLUNGEN!$H$9:$H$128,"OK",SONDERZAHLUNGEN!$F$9:$F$128,"Ja")))</x:f>
      </x:c>
      <x:c r="H1296" s="88" t="str">
        <x:f>IF(C1296="","",MIN(MAX(0,D1296+E1296-F1296-G1296),MAX(0,IF(MONATSBUDGET!$C$71="",0,MONATSBUDGET!$C$71)-SUM(F1280:F1299)-SUM(H1280:H1295))))</x:f>
      </x:c>
      <x:c r="I1296" s="88" t="str">
        <x:f>IF(C1296="","",MAX(0,ROUND(D1296+E1296-F1296-G1296-H1296,2)))</x:f>
      </x:c>
      <x:c r="J1296" s="88" t="str">
        <x:f>IF(C1296="","",F1296+G1296+H1296)</x:f>
      </x:c>
      <x:c r="K1296" s="88" t="str">
        <x:f>IF(C1296="","",MAX(0,SUMIFS(SONDERZAHLUNGEN!$E$9:$E$128,SONDERZAHLUNGEN!$B$9:$B$128,C1296,SONDERZAHLUNGEN!$C$9:$C$128,A1296,SONDERZAHLUNGEN!$H$9:$H$128,"OK",SONDERZAHLUNGEN!$F$9:$F$128,"Ja")-G1296))</x:f>
      </x:c>
    </x:row>
    <x:row r="1297" ht="19" customHeight="1">
      <x:c r="A1297" s="90" t="n">
        <x:f>MONATSBUDGET!$A$71</x:f>
        <x:v>48153</x:v>
      </x:c>
      <x:c r="B1297" t="n">
        <x:f>18</x:f>
        <x:v>18</x:v>
      </x:c>
      <x:c r="C1297" t="str">
        <x:f>IF($N$26="","",$N$26)</x:f>
      </x:c>
      <x:c r="D1297" s="88" t="str">
        <x:f>IF(C1297="","",I1277)</x:f>
      </x:c>
      <x:c r="E1297" s="88" t="str">
        <x:f>IF(C1297="","",ROUND(D1297*$P$26/12,2))</x:f>
      </x:c>
      <x:c r="F1297" s="88" t="str">
        <x:f>IF(C1297="","",MIN(D1297+E1297,$Q$26))</x:f>
      </x:c>
      <x:c r="G1297" s="88" t="str">
        <x:f>IF(C1297="","",MIN(MAX(0,D1297+E1297-F1297),SUMIFS(SONDERZAHLUNGEN!$E$9:$E$128,SONDERZAHLUNGEN!$B$9:$B$128,C1297,SONDERZAHLUNGEN!$C$9:$C$128,A1297,SONDERZAHLUNGEN!$H$9:$H$128,"OK",SONDERZAHLUNGEN!$F$9:$F$128,"Ja")))</x:f>
      </x:c>
      <x:c r="H1297" s="88" t="str">
        <x:f>IF(C1297="","",MIN(MAX(0,D1297+E1297-F1297-G1297),MAX(0,IF(MONATSBUDGET!$C$71="",0,MONATSBUDGET!$C$71)-SUM(F1280:F1299)-SUM(H1280:H1296))))</x:f>
      </x:c>
      <x:c r="I1297" s="88" t="str">
        <x:f>IF(C1297="","",MAX(0,ROUND(D1297+E1297-F1297-G1297-H1297,2)))</x:f>
      </x:c>
      <x:c r="J1297" s="88" t="str">
        <x:f>IF(C1297="","",F1297+G1297+H1297)</x:f>
      </x:c>
      <x:c r="K1297" s="88" t="str">
        <x:f>IF(C1297="","",MAX(0,SUMIFS(SONDERZAHLUNGEN!$E$9:$E$128,SONDERZAHLUNGEN!$B$9:$B$128,C1297,SONDERZAHLUNGEN!$C$9:$C$128,A1297,SONDERZAHLUNGEN!$H$9:$H$128,"OK",SONDERZAHLUNGEN!$F$9:$F$128,"Ja")-G1297))</x:f>
      </x:c>
    </x:row>
    <x:row r="1298" ht="19" customHeight="1">
      <x:c r="A1298" s="90" t="n">
        <x:f>MONATSBUDGET!$A$71</x:f>
        <x:v>48153</x:v>
      </x:c>
      <x:c r="B1298" t="n">
        <x:f>19</x:f>
        <x:v>19</x:v>
      </x:c>
      <x:c r="C1298" t="str">
        <x:f>IF($N$27="","",$N$27)</x:f>
      </x:c>
      <x:c r="D1298" s="88" t="str">
        <x:f>IF(C1298="","",I1278)</x:f>
      </x:c>
      <x:c r="E1298" s="88" t="str">
        <x:f>IF(C1298="","",ROUND(D1298*$P$27/12,2))</x:f>
      </x:c>
      <x:c r="F1298" s="88" t="str">
        <x:f>IF(C1298="","",MIN(D1298+E1298,$Q$27))</x:f>
      </x:c>
      <x:c r="G1298" s="88" t="str">
        <x:f>IF(C1298="","",MIN(MAX(0,D1298+E1298-F1298),SUMIFS(SONDERZAHLUNGEN!$E$9:$E$128,SONDERZAHLUNGEN!$B$9:$B$128,C1298,SONDERZAHLUNGEN!$C$9:$C$128,A1298,SONDERZAHLUNGEN!$H$9:$H$128,"OK",SONDERZAHLUNGEN!$F$9:$F$128,"Ja")))</x:f>
      </x:c>
      <x:c r="H1298" s="88" t="str">
        <x:f>IF(C1298="","",MIN(MAX(0,D1298+E1298-F1298-G1298),MAX(0,IF(MONATSBUDGET!$C$71="",0,MONATSBUDGET!$C$71)-SUM(F1280:F1299)-SUM(H1280:H1297))))</x:f>
      </x:c>
      <x:c r="I1298" s="88" t="str">
        <x:f>IF(C1298="","",MAX(0,ROUND(D1298+E1298-F1298-G1298-H1298,2)))</x:f>
      </x:c>
      <x:c r="J1298" s="88" t="str">
        <x:f>IF(C1298="","",F1298+G1298+H1298)</x:f>
      </x:c>
      <x:c r="K1298" s="88" t="str">
        <x:f>IF(C1298="","",MAX(0,SUMIFS(SONDERZAHLUNGEN!$E$9:$E$128,SONDERZAHLUNGEN!$B$9:$B$128,C1298,SONDERZAHLUNGEN!$C$9:$C$128,A1298,SONDERZAHLUNGEN!$H$9:$H$128,"OK",SONDERZAHLUNGEN!$F$9:$F$128,"Ja")-G1298))</x:f>
      </x:c>
    </x:row>
    <x:row r="1299" ht="19" customHeight="1">
      <x:c r="A1299" s="90" t="n">
        <x:f>MONATSBUDGET!$A$71</x:f>
        <x:v>48153</x:v>
      </x:c>
      <x:c r="B1299" t="n">
        <x:f>20</x:f>
        <x:v>20</x:v>
      </x:c>
      <x:c r="C1299" t="str">
        <x:f>IF($N$28="","",$N$28)</x:f>
      </x:c>
      <x:c r="D1299" s="88" t="str">
        <x:f>IF(C1299="","",I1279)</x:f>
      </x:c>
      <x:c r="E1299" s="88" t="str">
        <x:f>IF(C1299="","",ROUND(D1299*$P$28/12,2))</x:f>
      </x:c>
      <x:c r="F1299" s="88" t="str">
        <x:f>IF(C1299="","",MIN(D1299+E1299,$Q$28))</x:f>
      </x:c>
      <x:c r="G1299" s="88" t="str">
        <x:f>IF(C1299="","",MIN(MAX(0,D1299+E1299-F1299),SUMIFS(SONDERZAHLUNGEN!$E$9:$E$128,SONDERZAHLUNGEN!$B$9:$B$128,C1299,SONDERZAHLUNGEN!$C$9:$C$128,A1299,SONDERZAHLUNGEN!$H$9:$H$128,"OK",SONDERZAHLUNGEN!$F$9:$F$128,"Ja")))</x:f>
      </x:c>
      <x:c r="H1299" s="88" t="str">
        <x:f>IF(C1299="","",MIN(MAX(0,D1299+E1299-F1299-G1299),MAX(0,IF(MONATSBUDGET!$C$71="",0,MONATSBUDGET!$C$71)-SUM(F1280:F1299)-SUM(H1280:H1298))))</x:f>
      </x:c>
      <x:c r="I1299" s="88" t="str">
        <x:f>IF(C1299="","",MAX(0,ROUND(D1299+E1299-F1299-G1299-H1299,2)))</x:f>
      </x:c>
      <x:c r="J1299" s="88" t="str">
        <x:f>IF(C1299="","",F1299+G1299+H1299)</x:f>
      </x:c>
      <x:c r="K1299" s="88" t="str">
        <x:f>IF(C1299="","",MAX(0,SUMIFS(SONDERZAHLUNGEN!$E$9:$E$128,SONDERZAHLUNGEN!$B$9:$B$128,C1299,SONDERZAHLUNGEN!$C$9:$C$128,A1299,SONDERZAHLUNGEN!$H$9:$H$128,"OK",SONDERZAHLUNGEN!$F$9:$F$128,"Ja")-G1299))</x:f>
      </x:c>
    </x:row>
    <x:row r="1300" ht="19" customHeight="1">
      <x:c r="A1300" s="90" t="n">
        <x:f>MONATSBUDGET!$A$72</x:f>
        <x:v>48183</x:v>
      </x:c>
      <x:c r="B1300" t="n">
        <x:f>1</x:f>
        <x:v>1</x:v>
      </x:c>
      <x:c r="C1300" t="str">
        <x:f>IF($N$9="","",$N$9)</x:f>
      </x:c>
      <x:c r="D1300" s="88" t="str">
        <x:f>IF(C1300="","",I1280)</x:f>
      </x:c>
      <x:c r="E1300" s="88" t="str">
        <x:f>IF(C1300="","",ROUND(D1300*$P$9/12,2))</x:f>
      </x:c>
      <x:c r="F1300" s="88" t="str">
        <x:f>IF(C1300="","",MIN(D1300+E1300,$Q$9))</x:f>
      </x:c>
      <x:c r="G1300" s="88" t="str">
        <x:f>IF(C1300="","",MIN(MAX(0,D1300+E1300-F1300),SUMIFS(SONDERZAHLUNGEN!$E$9:$E$128,SONDERZAHLUNGEN!$B$9:$B$128,C1300,SONDERZAHLUNGEN!$C$9:$C$128,A1300,SONDERZAHLUNGEN!$H$9:$H$128,"OK",SONDERZAHLUNGEN!$F$9:$F$128,"Ja")))</x:f>
      </x:c>
      <x:c r="H1300" s="88" t="str">
        <x:f>IF(C1300="","",MIN(MAX(0,D1300+E1300-F1300-G1300),MAX(0,IF(MONATSBUDGET!$C$72="",0,MONATSBUDGET!$C$72)-SUM(F1300:F1319)-0)))</x:f>
      </x:c>
      <x:c r="I1300" s="88" t="str">
        <x:f>IF(C1300="","",MAX(0,ROUND(D1300+E1300-F1300-G1300-H1300,2)))</x:f>
      </x:c>
      <x:c r="J1300" s="88" t="str">
        <x:f>IF(C1300="","",F1300+G1300+H1300)</x:f>
      </x:c>
      <x:c r="K1300" s="88" t="str">
        <x:f>IF(C1300="","",MAX(0,SUMIFS(SONDERZAHLUNGEN!$E$9:$E$128,SONDERZAHLUNGEN!$B$9:$B$128,C1300,SONDERZAHLUNGEN!$C$9:$C$128,A1300,SONDERZAHLUNGEN!$H$9:$H$128,"OK",SONDERZAHLUNGEN!$F$9:$F$128,"Ja")-G1300))</x:f>
      </x:c>
    </x:row>
    <x:row r="1301" ht="19" customHeight="1">
      <x:c r="A1301" s="90" t="n">
        <x:f>MONATSBUDGET!$A$72</x:f>
        <x:v>48183</x:v>
      </x:c>
      <x:c r="B1301" t="n">
        <x:f>2</x:f>
        <x:v>2</x:v>
      </x:c>
      <x:c r="C1301" t="str">
        <x:f>IF($N$10="","",$N$10)</x:f>
      </x:c>
      <x:c r="D1301" s="88" t="str">
        <x:f>IF(C1301="","",I1281)</x:f>
      </x:c>
      <x:c r="E1301" s="88" t="str">
        <x:f>IF(C1301="","",ROUND(D1301*$P$10/12,2))</x:f>
      </x:c>
      <x:c r="F1301" s="88" t="str">
        <x:f>IF(C1301="","",MIN(D1301+E1301,$Q$10))</x:f>
      </x:c>
      <x:c r="G1301" s="88" t="str">
        <x:f>IF(C1301="","",MIN(MAX(0,D1301+E1301-F1301),SUMIFS(SONDERZAHLUNGEN!$E$9:$E$128,SONDERZAHLUNGEN!$B$9:$B$128,C1301,SONDERZAHLUNGEN!$C$9:$C$128,A1301,SONDERZAHLUNGEN!$H$9:$H$128,"OK",SONDERZAHLUNGEN!$F$9:$F$128,"Ja")))</x:f>
      </x:c>
      <x:c r="H1301" s="88" t="str">
        <x:f>IF(C1301="","",MIN(MAX(0,D1301+E1301-F1301-G1301),MAX(0,IF(MONATSBUDGET!$C$72="",0,MONATSBUDGET!$C$72)-SUM(F1300:F1319)-SUM(H1300:H1300))))</x:f>
      </x:c>
      <x:c r="I1301" s="88" t="str">
        <x:f>IF(C1301="","",MAX(0,ROUND(D1301+E1301-F1301-G1301-H1301,2)))</x:f>
      </x:c>
      <x:c r="J1301" s="88" t="str">
        <x:f>IF(C1301="","",F1301+G1301+H1301)</x:f>
      </x:c>
      <x:c r="K1301" s="88" t="str">
        <x:f>IF(C1301="","",MAX(0,SUMIFS(SONDERZAHLUNGEN!$E$9:$E$128,SONDERZAHLUNGEN!$B$9:$B$128,C1301,SONDERZAHLUNGEN!$C$9:$C$128,A1301,SONDERZAHLUNGEN!$H$9:$H$128,"OK",SONDERZAHLUNGEN!$F$9:$F$128,"Ja")-G1301))</x:f>
      </x:c>
    </x:row>
    <x:row r="1302" ht="19" customHeight="1">
      <x:c r="A1302" s="90" t="n">
        <x:f>MONATSBUDGET!$A$72</x:f>
        <x:v>48183</x:v>
      </x:c>
      <x:c r="B1302" t="n">
        <x:f>3</x:f>
        <x:v>3</x:v>
      </x:c>
      <x:c r="C1302" t="str">
        <x:f>IF($N$11="","",$N$11)</x:f>
      </x:c>
      <x:c r="D1302" s="88" t="str">
        <x:f>IF(C1302="","",I1282)</x:f>
      </x:c>
      <x:c r="E1302" s="88" t="str">
        <x:f>IF(C1302="","",ROUND(D1302*$P$11/12,2))</x:f>
      </x:c>
      <x:c r="F1302" s="88" t="str">
        <x:f>IF(C1302="","",MIN(D1302+E1302,$Q$11))</x:f>
      </x:c>
      <x:c r="G1302" s="88" t="str">
        <x:f>IF(C1302="","",MIN(MAX(0,D1302+E1302-F1302),SUMIFS(SONDERZAHLUNGEN!$E$9:$E$128,SONDERZAHLUNGEN!$B$9:$B$128,C1302,SONDERZAHLUNGEN!$C$9:$C$128,A1302,SONDERZAHLUNGEN!$H$9:$H$128,"OK",SONDERZAHLUNGEN!$F$9:$F$128,"Ja")))</x:f>
      </x:c>
      <x:c r="H1302" s="88" t="str">
        <x:f>IF(C1302="","",MIN(MAX(0,D1302+E1302-F1302-G1302),MAX(0,IF(MONATSBUDGET!$C$72="",0,MONATSBUDGET!$C$72)-SUM(F1300:F1319)-SUM(H1300:H1301))))</x:f>
      </x:c>
      <x:c r="I1302" s="88" t="str">
        <x:f>IF(C1302="","",MAX(0,ROUND(D1302+E1302-F1302-G1302-H1302,2)))</x:f>
      </x:c>
      <x:c r="J1302" s="88" t="str">
        <x:f>IF(C1302="","",F1302+G1302+H1302)</x:f>
      </x:c>
      <x:c r="K1302" s="88" t="str">
        <x:f>IF(C1302="","",MAX(0,SUMIFS(SONDERZAHLUNGEN!$E$9:$E$128,SONDERZAHLUNGEN!$B$9:$B$128,C1302,SONDERZAHLUNGEN!$C$9:$C$128,A1302,SONDERZAHLUNGEN!$H$9:$H$128,"OK",SONDERZAHLUNGEN!$F$9:$F$128,"Ja")-G1302))</x:f>
      </x:c>
    </x:row>
    <x:row r="1303" ht="19" customHeight="1">
      <x:c r="A1303" s="90" t="n">
        <x:f>MONATSBUDGET!$A$72</x:f>
        <x:v>48183</x:v>
      </x:c>
      <x:c r="B1303" t="n">
        <x:f>4</x:f>
        <x:v>4</x:v>
      </x:c>
      <x:c r="C1303" t="str">
        <x:f>IF($N$12="","",$N$12)</x:f>
      </x:c>
      <x:c r="D1303" s="88" t="str">
        <x:f>IF(C1303="","",I1283)</x:f>
      </x:c>
      <x:c r="E1303" s="88" t="str">
        <x:f>IF(C1303="","",ROUND(D1303*$P$12/12,2))</x:f>
      </x:c>
      <x:c r="F1303" s="88" t="str">
        <x:f>IF(C1303="","",MIN(D1303+E1303,$Q$12))</x:f>
      </x:c>
      <x:c r="G1303" s="88" t="str">
        <x:f>IF(C1303="","",MIN(MAX(0,D1303+E1303-F1303),SUMIFS(SONDERZAHLUNGEN!$E$9:$E$128,SONDERZAHLUNGEN!$B$9:$B$128,C1303,SONDERZAHLUNGEN!$C$9:$C$128,A1303,SONDERZAHLUNGEN!$H$9:$H$128,"OK",SONDERZAHLUNGEN!$F$9:$F$128,"Ja")))</x:f>
      </x:c>
      <x:c r="H1303" s="88" t="str">
        <x:f>IF(C1303="","",MIN(MAX(0,D1303+E1303-F1303-G1303),MAX(0,IF(MONATSBUDGET!$C$72="",0,MONATSBUDGET!$C$72)-SUM(F1300:F1319)-SUM(H1300:H1302))))</x:f>
      </x:c>
      <x:c r="I1303" s="88" t="str">
        <x:f>IF(C1303="","",MAX(0,ROUND(D1303+E1303-F1303-G1303-H1303,2)))</x:f>
      </x:c>
      <x:c r="J1303" s="88" t="str">
        <x:f>IF(C1303="","",F1303+G1303+H1303)</x:f>
      </x:c>
      <x:c r="K1303" s="88" t="str">
        <x:f>IF(C1303="","",MAX(0,SUMIFS(SONDERZAHLUNGEN!$E$9:$E$128,SONDERZAHLUNGEN!$B$9:$B$128,C1303,SONDERZAHLUNGEN!$C$9:$C$128,A1303,SONDERZAHLUNGEN!$H$9:$H$128,"OK",SONDERZAHLUNGEN!$F$9:$F$128,"Ja")-G1303))</x:f>
      </x:c>
    </x:row>
    <x:row r="1304" ht="19" customHeight="1">
      <x:c r="A1304" s="90" t="n">
        <x:f>MONATSBUDGET!$A$72</x:f>
        <x:v>48183</x:v>
      </x:c>
      <x:c r="B1304" t="n">
        <x:f>5</x:f>
        <x:v>5</x:v>
      </x:c>
      <x:c r="C1304" t="str">
        <x:f>IF($N$13="","",$N$13)</x:f>
      </x:c>
      <x:c r="D1304" s="88" t="str">
        <x:f>IF(C1304="","",I1284)</x:f>
      </x:c>
      <x:c r="E1304" s="88" t="str">
        <x:f>IF(C1304="","",ROUND(D1304*$P$13/12,2))</x:f>
      </x:c>
      <x:c r="F1304" s="88" t="str">
        <x:f>IF(C1304="","",MIN(D1304+E1304,$Q$13))</x:f>
      </x:c>
      <x:c r="G1304" s="88" t="str">
        <x:f>IF(C1304="","",MIN(MAX(0,D1304+E1304-F1304),SUMIFS(SONDERZAHLUNGEN!$E$9:$E$128,SONDERZAHLUNGEN!$B$9:$B$128,C1304,SONDERZAHLUNGEN!$C$9:$C$128,A1304,SONDERZAHLUNGEN!$H$9:$H$128,"OK",SONDERZAHLUNGEN!$F$9:$F$128,"Ja")))</x:f>
      </x:c>
      <x:c r="H1304" s="88" t="str">
        <x:f>IF(C1304="","",MIN(MAX(0,D1304+E1304-F1304-G1304),MAX(0,IF(MONATSBUDGET!$C$72="",0,MONATSBUDGET!$C$72)-SUM(F1300:F1319)-SUM(H1300:H1303))))</x:f>
      </x:c>
      <x:c r="I1304" s="88" t="str">
        <x:f>IF(C1304="","",MAX(0,ROUND(D1304+E1304-F1304-G1304-H1304,2)))</x:f>
      </x:c>
      <x:c r="J1304" s="88" t="str">
        <x:f>IF(C1304="","",F1304+G1304+H1304)</x:f>
      </x:c>
      <x:c r="K1304" s="88" t="str">
        <x:f>IF(C1304="","",MAX(0,SUMIFS(SONDERZAHLUNGEN!$E$9:$E$128,SONDERZAHLUNGEN!$B$9:$B$128,C1304,SONDERZAHLUNGEN!$C$9:$C$128,A1304,SONDERZAHLUNGEN!$H$9:$H$128,"OK",SONDERZAHLUNGEN!$F$9:$F$128,"Ja")-G1304))</x:f>
      </x:c>
    </x:row>
    <x:row r="1305" ht="19" customHeight="1">
      <x:c r="A1305" s="90" t="n">
        <x:f>MONATSBUDGET!$A$72</x:f>
        <x:v>48183</x:v>
      </x:c>
      <x:c r="B1305" t="n">
        <x:f>6</x:f>
        <x:v>6</x:v>
      </x:c>
      <x:c r="C1305" t="str">
        <x:f>IF($N$14="","",$N$14)</x:f>
      </x:c>
      <x:c r="D1305" s="88" t="str">
        <x:f>IF(C1305="","",I1285)</x:f>
      </x:c>
      <x:c r="E1305" s="88" t="str">
        <x:f>IF(C1305="","",ROUND(D1305*$P$14/12,2))</x:f>
      </x:c>
      <x:c r="F1305" s="88" t="str">
        <x:f>IF(C1305="","",MIN(D1305+E1305,$Q$14))</x:f>
      </x:c>
      <x:c r="G1305" s="88" t="str">
        <x:f>IF(C1305="","",MIN(MAX(0,D1305+E1305-F1305),SUMIFS(SONDERZAHLUNGEN!$E$9:$E$128,SONDERZAHLUNGEN!$B$9:$B$128,C1305,SONDERZAHLUNGEN!$C$9:$C$128,A1305,SONDERZAHLUNGEN!$H$9:$H$128,"OK",SONDERZAHLUNGEN!$F$9:$F$128,"Ja")))</x:f>
      </x:c>
      <x:c r="H1305" s="88" t="str">
        <x:f>IF(C1305="","",MIN(MAX(0,D1305+E1305-F1305-G1305),MAX(0,IF(MONATSBUDGET!$C$72="",0,MONATSBUDGET!$C$72)-SUM(F1300:F1319)-SUM(H1300:H1304))))</x:f>
      </x:c>
      <x:c r="I1305" s="88" t="str">
        <x:f>IF(C1305="","",MAX(0,ROUND(D1305+E1305-F1305-G1305-H1305,2)))</x:f>
      </x:c>
      <x:c r="J1305" s="88" t="str">
        <x:f>IF(C1305="","",F1305+G1305+H1305)</x:f>
      </x:c>
      <x:c r="K1305" s="88" t="str">
        <x:f>IF(C1305="","",MAX(0,SUMIFS(SONDERZAHLUNGEN!$E$9:$E$128,SONDERZAHLUNGEN!$B$9:$B$128,C1305,SONDERZAHLUNGEN!$C$9:$C$128,A1305,SONDERZAHLUNGEN!$H$9:$H$128,"OK",SONDERZAHLUNGEN!$F$9:$F$128,"Ja")-G1305))</x:f>
      </x:c>
    </x:row>
    <x:row r="1306" ht="19" customHeight="1">
      <x:c r="A1306" s="90" t="n">
        <x:f>MONATSBUDGET!$A$72</x:f>
        <x:v>48183</x:v>
      </x:c>
      <x:c r="B1306" t="n">
        <x:f>7</x:f>
        <x:v>7</x:v>
      </x:c>
      <x:c r="C1306" t="str">
        <x:f>IF($N$15="","",$N$15)</x:f>
      </x:c>
      <x:c r="D1306" s="88" t="str">
        <x:f>IF(C1306="","",I1286)</x:f>
      </x:c>
      <x:c r="E1306" s="88" t="str">
        <x:f>IF(C1306="","",ROUND(D1306*$P$15/12,2))</x:f>
      </x:c>
      <x:c r="F1306" s="88" t="str">
        <x:f>IF(C1306="","",MIN(D1306+E1306,$Q$15))</x:f>
      </x:c>
      <x:c r="G1306" s="88" t="str">
        <x:f>IF(C1306="","",MIN(MAX(0,D1306+E1306-F1306),SUMIFS(SONDERZAHLUNGEN!$E$9:$E$128,SONDERZAHLUNGEN!$B$9:$B$128,C1306,SONDERZAHLUNGEN!$C$9:$C$128,A1306,SONDERZAHLUNGEN!$H$9:$H$128,"OK",SONDERZAHLUNGEN!$F$9:$F$128,"Ja")))</x:f>
      </x:c>
      <x:c r="H1306" s="88" t="str">
        <x:f>IF(C1306="","",MIN(MAX(0,D1306+E1306-F1306-G1306),MAX(0,IF(MONATSBUDGET!$C$72="",0,MONATSBUDGET!$C$72)-SUM(F1300:F1319)-SUM(H1300:H1305))))</x:f>
      </x:c>
      <x:c r="I1306" s="88" t="str">
        <x:f>IF(C1306="","",MAX(0,ROUND(D1306+E1306-F1306-G1306-H1306,2)))</x:f>
      </x:c>
      <x:c r="J1306" s="88" t="str">
        <x:f>IF(C1306="","",F1306+G1306+H1306)</x:f>
      </x:c>
      <x:c r="K1306" s="88" t="str">
        <x:f>IF(C1306="","",MAX(0,SUMIFS(SONDERZAHLUNGEN!$E$9:$E$128,SONDERZAHLUNGEN!$B$9:$B$128,C1306,SONDERZAHLUNGEN!$C$9:$C$128,A1306,SONDERZAHLUNGEN!$H$9:$H$128,"OK",SONDERZAHLUNGEN!$F$9:$F$128,"Ja")-G1306))</x:f>
      </x:c>
    </x:row>
    <x:row r="1307" ht="19" customHeight="1">
      <x:c r="A1307" s="90" t="n">
        <x:f>MONATSBUDGET!$A$72</x:f>
        <x:v>48183</x:v>
      </x:c>
      <x:c r="B1307" t="n">
        <x:f>8</x:f>
        <x:v>8</x:v>
      </x:c>
      <x:c r="C1307" t="str">
        <x:f>IF($N$16="","",$N$16)</x:f>
      </x:c>
      <x:c r="D1307" s="88" t="str">
        <x:f>IF(C1307="","",I1287)</x:f>
      </x:c>
      <x:c r="E1307" s="88" t="str">
        <x:f>IF(C1307="","",ROUND(D1307*$P$16/12,2))</x:f>
      </x:c>
      <x:c r="F1307" s="88" t="str">
        <x:f>IF(C1307="","",MIN(D1307+E1307,$Q$16))</x:f>
      </x:c>
      <x:c r="G1307" s="88" t="str">
        <x:f>IF(C1307="","",MIN(MAX(0,D1307+E1307-F1307),SUMIFS(SONDERZAHLUNGEN!$E$9:$E$128,SONDERZAHLUNGEN!$B$9:$B$128,C1307,SONDERZAHLUNGEN!$C$9:$C$128,A1307,SONDERZAHLUNGEN!$H$9:$H$128,"OK",SONDERZAHLUNGEN!$F$9:$F$128,"Ja")))</x:f>
      </x:c>
      <x:c r="H1307" s="88" t="str">
        <x:f>IF(C1307="","",MIN(MAX(0,D1307+E1307-F1307-G1307),MAX(0,IF(MONATSBUDGET!$C$72="",0,MONATSBUDGET!$C$72)-SUM(F1300:F1319)-SUM(H1300:H1306))))</x:f>
      </x:c>
      <x:c r="I1307" s="88" t="str">
        <x:f>IF(C1307="","",MAX(0,ROUND(D1307+E1307-F1307-G1307-H1307,2)))</x:f>
      </x:c>
      <x:c r="J1307" s="88" t="str">
        <x:f>IF(C1307="","",F1307+G1307+H1307)</x:f>
      </x:c>
      <x:c r="K1307" s="88" t="str">
        <x:f>IF(C1307="","",MAX(0,SUMIFS(SONDERZAHLUNGEN!$E$9:$E$128,SONDERZAHLUNGEN!$B$9:$B$128,C1307,SONDERZAHLUNGEN!$C$9:$C$128,A1307,SONDERZAHLUNGEN!$H$9:$H$128,"OK",SONDERZAHLUNGEN!$F$9:$F$128,"Ja")-G1307))</x:f>
      </x:c>
    </x:row>
    <x:row r="1308" ht="19" customHeight="1">
      <x:c r="A1308" s="90" t="n">
        <x:f>MONATSBUDGET!$A$72</x:f>
        <x:v>48183</x:v>
      </x:c>
      <x:c r="B1308" t="n">
        <x:f>9</x:f>
        <x:v>9</x:v>
      </x:c>
      <x:c r="C1308" t="str">
        <x:f>IF($N$17="","",$N$17)</x:f>
      </x:c>
      <x:c r="D1308" s="88" t="str">
        <x:f>IF(C1308="","",I1288)</x:f>
      </x:c>
      <x:c r="E1308" s="88" t="str">
        <x:f>IF(C1308="","",ROUND(D1308*$P$17/12,2))</x:f>
      </x:c>
      <x:c r="F1308" s="88" t="str">
        <x:f>IF(C1308="","",MIN(D1308+E1308,$Q$17))</x:f>
      </x:c>
      <x:c r="G1308" s="88" t="str">
        <x:f>IF(C1308="","",MIN(MAX(0,D1308+E1308-F1308),SUMIFS(SONDERZAHLUNGEN!$E$9:$E$128,SONDERZAHLUNGEN!$B$9:$B$128,C1308,SONDERZAHLUNGEN!$C$9:$C$128,A1308,SONDERZAHLUNGEN!$H$9:$H$128,"OK",SONDERZAHLUNGEN!$F$9:$F$128,"Ja")))</x:f>
      </x:c>
      <x:c r="H1308" s="88" t="str">
        <x:f>IF(C1308="","",MIN(MAX(0,D1308+E1308-F1308-G1308),MAX(0,IF(MONATSBUDGET!$C$72="",0,MONATSBUDGET!$C$72)-SUM(F1300:F1319)-SUM(H1300:H1307))))</x:f>
      </x:c>
      <x:c r="I1308" s="88" t="str">
        <x:f>IF(C1308="","",MAX(0,ROUND(D1308+E1308-F1308-G1308-H1308,2)))</x:f>
      </x:c>
      <x:c r="J1308" s="88" t="str">
        <x:f>IF(C1308="","",F1308+G1308+H1308)</x:f>
      </x:c>
      <x:c r="K1308" s="88" t="str">
        <x:f>IF(C1308="","",MAX(0,SUMIFS(SONDERZAHLUNGEN!$E$9:$E$128,SONDERZAHLUNGEN!$B$9:$B$128,C1308,SONDERZAHLUNGEN!$C$9:$C$128,A1308,SONDERZAHLUNGEN!$H$9:$H$128,"OK",SONDERZAHLUNGEN!$F$9:$F$128,"Ja")-G1308))</x:f>
      </x:c>
    </x:row>
    <x:row r="1309" ht="19" customHeight="1">
      <x:c r="A1309" s="90" t="n">
        <x:f>MONATSBUDGET!$A$72</x:f>
        <x:v>48183</x:v>
      </x:c>
      <x:c r="B1309" t="n">
        <x:f>10</x:f>
        <x:v>10</x:v>
      </x:c>
      <x:c r="C1309" t="str">
        <x:f>IF($N$18="","",$N$18)</x:f>
      </x:c>
      <x:c r="D1309" s="88" t="str">
        <x:f>IF(C1309="","",I1289)</x:f>
      </x:c>
      <x:c r="E1309" s="88" t="str">
        <x:f>IF(C1309="","",ROUND(D1309*$P$18/12,2))</x:f>
      </x:c>
      <x:c r="F1309" s="88" t="str">
        <x:f>IF(C1309="","",MIN(D1309+E1309,$Q$18))</x:f>
      </x:c>
      <x:c r="G1309" s="88" t="str">
        <x:f>IF(C1309="","",MIN(MAX(0,D1309+E1309-F1309),SUMIFS(SONDERZAHLUNGEN!$E$9:$E$128,SONDERZAHLUNGEN!$B$9:$B$128,C1309,SONDERZAHLUNGEN!$C$9:$C$128,A1309,SONDERZAHLUNGEN!$H$9:$H$128,"OK",SONDERZAHLUNGEN!$F$9:$F$128,"Ja")))</x:f>
      </x:c>
      <x:c r="H1309" s="88" t="str">
        <x:f>IF(C1309="","",MIN(MAX(0,D1309+E1309-F1309-G1309),MAX(0,IF(MONATSBUDGET!$C$72="",0,MONATSBUDGET!$C$72)-SUM(F1300:F1319)-SUM(H1300:H1308))))</x:f>
      </x:c>
      <x:c r="I1309" s="88" t="str">
        <x:f>IF(C1309="","",MAX(0,ROUND(D1309+E1309-F1309-G1309-H1309,2)))</x:f>
      </x:c>
      <x:c r="J1309" s="88" t="str">
        <x:f>IF(C1309="","",F1309+G1309+H1309)</x:f>
      </x:c>
      <x:c r="K1309" s="88" t="str">
        <x:f>IF(C1309="","",MAX(0,SUMIFS(SONDERZAHLUNGEN!$E$9:$E$128,SONDERZAHLUNGEN!$B$9:$B$128,C1309,SONDERZAHLUNGEN!$C$9:$C$128,A1309,SONDERZAHLUNGEN!$H$9:$H$128,"OK",SONDERZAHLUNGEN!$F$9:$F$128,"Ja")-G1309))</x:f>
      </x:c>
    </x:row>
    <x:row r="1310" ht="19" customHeight="1">
      <x:c r="A1310" s="90" t="n">
        <x:f>MONATSBUDGET!$A$72</x:f>
        <x:v>48183</x:v>
      </x:c>
      <x:c r="B1310" t="n">
        <x:f>11</x:f>
        <x:v>11</x:v>
      </x:c>
      <x:c r="C1310" t="str">
        <x:f>IF($N$19="","",$N$19)</x:f>
      </x:c>
      <x:c r="D1310" s="88" t="str">
        <x:f>IF(C1310="","",I1290)</x:f>
      </x:c>
      <x:c r="E1310" s="88" t="str">
        <x:f>IF(C1310="","",ROUND(D1310*$P$19/12,2))</x:f>
      </x:c>
      <x:c r="F1310" s="88" t="str">
        <x:f>IF(C1310="","",MIN(D1310+E1310,$Q$19))</x:f>
      </x:c>
      <x:c r="G1310" s="88" t="str">
        <x:f>IF(C1310="","",MIN(MAX(0,D1310+E1310-F1310),SUMIFS(SONDERZAHLUNGEN!$E$9:$E$128,SONDERZAHLUNGEN!$B$9:$B$128,C1310,SONDERZAHLUNGEN!$C$9:$C$128,A1310,SONDERZAHLUNGEN!$H$9:$H$128,"OK",SONDERZAHLUNGEN!$F$9:$F$128,"Ja")))</x:f>
      </x:c>
      <x:c r="H1310" s="88" t="str">
        <x:f>IF(C1310="","",MIN(MAX(0,D1310+E1310-F1310-G1310),MAX(0,IF(MONATSBUDGET!$C$72="",0,MONATSBUDGET!$C$72)-SUM(F1300:F1319)-SUM(H1300:H1309))))</x:f>
      </x:c>
      <x:c r="I1310" s="88" t="str">
        <x:f>IF(C1310="","",MAX(0,ROUND(D1310+E1310-F1310-G1310-H1310,2)))</x:f>
      </x:c>
      <x:c r="J1310" s="88" t="str">
        <x:f>IF(C1310="","",F1310+G1310+H1310)</x:f>
      </x:c>
      <x:c r="K1310" s="88" t="str">
        <x:f>IF(C1310="","",MAX(0,SUMIFS(SONDERZAHLUNGEN!$E$9:$E$128,SONDERZAHLUNGEN!$B$9:$B$128,C1310,SONDERZAHLUNGEN!$C$9:$C$128,A1310,SONDERZAHLUNGEN!$H$9:$H$128,"OK",SONDERZAHLUNGEN!$F$9:$F$128,"Ja")-G1310))</x:f>
      </x:c>
    </x:row>
    <x:row r="1311" ht="19" customHeight="1">
      <x:c r="A1311" s="90" t="n">
        <x:f>MONATSBUDGET!$A$72</x:f>
        <x:v>48183</x:v>
      </x:c>
      <x:c r="B1311" t="n">
        <x:f>12</x:f>
        <x:v>12</x:v>
      </x:c>
      <x:c r="C1311" t="str">
        <x:f>IF($N$20="","",$N$20)</x:f>
      </x:c>
      <x:c r="D1311" s="88" t="str">
        <x:f>IF(C1311="","",I1291)</x:f>
      </x:c>
      <x:c r="E1311" s="88" t="str">
        <x:f>IF(C1311="","",ROUND(D1311*$P$20/12,2))</x:f>
      </x:c>
      <x:c r="F1311" s="88" t="str">
        <x:f>IF(C1311="","",MIN(D1311+E1311,$Q$20))</x:f>
      </x:c>
      <x:c r="G1311" s="88" t="str">
        <x:f>IF(C1311="","",MIN(MAX(0,D1311+E1311-F1311),SUMIFS(SONDERZAHLUNGEN!$E$9:$E$128,SONDERZAHLUNGEN!$B$9:$B$128,C1311,SONDERZAHLUNGEN!$C$9:$C$128,A1311,SONDERZAHLUNGEN!$H$9:$H$128,"OK",SONDERZAHLUNGEN!$F$9:$F$128,"Ja")))</x:f>
      </x:c>
      <x:c r="H1311" s="88" t="str">
        <x:f>IF(C1311="","",MIN(MAX(0,D1311+E1311-F1311-G1311),MAX(0,IF(MONATSBUDGET!$C$72="",0,MONATSBUDGET!$C$72)-SUM(F1300:F1319)-SUM(H1300:H1310))))</x:f>
      </x:c>
      <x:c r="I1311" s="88" t="str">
        <x:f>IF(C1311="","",MAX(0,ROUND(D1311+E1311-F1311-G1311-H1311,2)))</x:f>
      </x:c>
      <x:c r="J1311" s="88" t="str">
        <x:f>IF(C1311="","",F1311+G1311+H1311)</x:f>
      </x:c>
      <x:c r="K1311" s="88" t="str">
        <x:f>IF(C1311="","",MAX(0,SUMIFS(SONDERZAHLUNGEN!$E$9:$E$128,SONDERZAHLUNGEN!$B$9:$B$128,C1311,SONDERZAHLUNGEN!$C$9:$C$128,A1311,SONDERZAHLUNGEN!$H$9:$H$128,"OK",SONDERZAHLUNGEN!$F$9:$F$128,"Ja")-G1311))</x:f>
      </x:c>
    </x:row>
    <x:row r="1312" ht="19" customHeight="1">
      <x:c r="A1312" s="90" t="n">
        <x:f>MONATSBUDGET!$A$72</x:f>
        <x:v>48183</x:v>
      </x:c>
      <x:c r="B1312" t="n">
        <x:f>13</x:f>
        <x:v>13</x:v>
      </x:c>
      <x:c r="C1312" t="str">
        <x:f>IF($N$21="","",$N$21)</x:f>
      </x:c>
      <x:c r="D1312" s="88" t="str">
        <x:f>IF(C1312="","",I1292)</x:f>
      </x:c>
      <x:c r="E1312" s="88" t="str">
        <x:f>IF(C1312="","",ROUND(D1312*$P$21/12,2))</x:f>
      </x:c>
      <x:c r="F1312" s="88" t="str">
        <x:f>IF(C1312="","",MIN(D1312+E1312,$Q$21))</x:f>
      </x:c>
      <x:c r="G1312" s="88" t="str">
        <x:f>IF(C1312="","",MIN(MAX(0,D1312+E1312-F1312),SUMIFS(SONDERZAHLUNGEN!$E$9:$E$128,SONDERZAHLUNGEN!$B$9:$B$128,C1312,SONDERZAHLUNGEN!$C$9:$C$128,A1312,SONDERZAHLUNGEN!$H$9:$H$128,"OK",SONDERZAHLUNGEN!$F$9:$F$128,"Ja")))</x:f>
      </x:c>
      <x:c r="H1312" s="88" t="str">
        <x:f>IF(C1312="","",MIN(MAX(0,D1312+E1312-F1312-G1312),MAX(0,IF(MONATSBUDGET!$C$72="",0,MONATSBUDGET!$C$72)-SUM(F1300:F1319)-SUM(H1300:H1311))))</x:f>
      </x:c>
      <x:c r="I1312" s="88" t="str">
        <x:f>IF(C1312="","",MAX(0,ROUND(D1312+E1312-F1312-G1312-H1312,2)))</x:f>
      </x:c>
      <x:c r="J1312" s="88" t="str">
        <x:f>IF(C1312="","",F1312+G1312+H1312)</x:f>
      </x:c>
      <x:c r="K1312" s="88" t="str">
        <x:f>IF(C1312="","",MAX(0,SUMIFS(SONDERZAHLUNGEN!$E$9:$E$128,SONDERZAHLUNGEN!$B$9:$B$128,C1312,SONDERZAHLUNGEN!$C$9:$C$128,A1312,SONDERZAHLUNGEN!$H$9:$H$128,"OK",SONDERZAHLUNGEN!$F$9:$F$128,"Ja")-G1312))</x:f>
      </x:c>
    </x:row>
    <x:row r="1313" ht="19" customHeight="1">
      <x:c r="A1313" s="90" t="n">
        <x:f>MONATSBUDGET!$A$72</x:f>
        <x:v>48183</x:v>
      </x:c>
      <x:c r="B1313" t="n">
        <x:f>14</x:f>
        <x:v>14</x:v>
      </x:c>
      <x:c r="C1313" t="str">
        <x:f>IF($N$22="","",$N$22)</x:f>
      </x:c>
      <x:c r="D1313" s="88" t="str">
        <x:f>IF(C1313="","",I1293)</x:f>
      </x:c>
      <x:c r="E1313" s="88" t="str">
        <x:f>IF(C1313="","",ROUND(D1313*$P$22/12,2))</x:f>
      </x:c>
      <x:c r="F1313" s="88" t="str">
        <x:f>IF(C1313="","",MIN(D1313+E1313,$Q$22))</x:f>
      </x:c>
      <x:c r="G1313" s="88" t="str">
        <x:f>IF(C1313="","",MIN(MAX(0,D1313+E1313-F1313),SUMIFS(SONDERZAHLUNGEN!$E$9:$E$128,SONDERZAHLUNGEN!$B$9:$B$128,C1313,SONDERZAHLUNGEN!$C$9:$C$128,A1313,SONDERZAHLUNGEN!$H$9:$H$128,"OK",SONDERZAHLUNGEN!$F$9:$F$128,"Ja")))</x:f>
      </x:c>
      <x:c r="H1313" s="88" t="str">
        <x:f>IF(C1313="","",MIN(MAX(0,D1313+E1313-F1313-G1313),MAX(0,IF(MONATSBUDGET!$C$72="",0,MONATSBUDGET!$C$72)-SUM(F1300:F1319)-SUM(H1300:H1312))))</x:f>
      </x:c>
      <x:c r="I1313" s="88" t="str">
        <x:f>IF(C1313="","",MAX(0,ROUND(D1313+E1313-F1313-G1313-H1313,2)))</x:f>
      </x:c>
      <x:c r="J1313" s="88" t="str">
        <x:f>IF(C1313="","",F1313+G1313+H1313)</x:f>
      </x:c>
      <x:c r="K1313" s="88" t="str">
        <x:f>IF(C1313="","",MAX(0,SUMIFS(SONDERZAHLUNGEN!$E$9:$E$128,SONDERZAHLUNGEN!$B$9:$B$128,C1313,SONDERZAHLUNGEN!$C$9:$C$128,A1313,SONDERZAHLUNGEN!$H$9:$H$128,"OK",SONDERZAHLUNGEN!$F$9:$F$128,"Ja")-G1313))</x:f>
      </x:c>
    </x:row>
    <x:row r="1314" ht="19" customHeight="1">
      <x:c r="A1314" s="90" t="n">
        <x:f>MONATSBUDGET!$A$72</x:f>
        <x:v>48183</x:v>
      </x:c>
      <x:c r="B1314" t="n">
        <x:f>15</x:f>
        <x:v>15</x:v>
      </x:c>
      <x:c r="C1314" t="str">
        <x:f>IF($N$23="","",$N$23)</x:f>
      </x:c>
      <x:c r="D1314" s="88" t="str">
        <x:f>IF(C1314="","",I1294)</x:f>
      </x:c>
      <x:c r="E1314" s="88" t="str">
        <x:f>IF(C1314="","",ROUND(D1314*$P$23/12,2))</x:f>
      </x:c>
      <x:c r="F1314" s="88" t="str">
        <x:f>IF(C1314="","",MIN(D1314+E1314,$Q$23))</x:f>
      </x:c>
      <x:c r="G1314" s="88" t="str">
        <x:f>IF(C1314="","",MIN(MAX(0,D1314+E1314-F1314),SUMIFS(SONDERZAHLUNGEN!$E$9:$E$128,SONDERZAHLUNGEN!$B$9:$B$128,C1314,SONDERZAHLUNGEN!$C$9:$C$128,A1314,SONDERZAHLUNGEN!$H$9:$H$128,"OK",SONDERZAHLUNGEN!$F$9:$F$128,"Ja")))</x:f>
      </x:c>
      <x:c r="H1314" s="88" t="str">
        <x:f>IF(C1314="","",MIN(MAX(0,D1314+E1314-F1314-G1314),MAX(0,IF(MONATSBUDGET!$C$72="",0,MONATSBUDGET!$C$72)-SUM(F1300:F1319)-SUM(H1300:H1313))))</x:f>
      </x:c>
      <x:c r="I1314" s="88" t="str">
        <x:f>IF(C1314="","",MAX(0,ROUND(D1314+E1314-F1314-G1314-H1314,2)))</x:f>
      </x:c>
      <x:c r="J1314" s="88" t="str">
        <x:f>IF(C1314="","",F1314+G1314+H1314)</x:f>
      </x:c>
      <x:c r="K1314" s="88" t="str">
        <x:f>IF(C1314="","",MAX(0,SUMIFS(SONDERZAHLUNGEN!$E$9:$E$128,SONDERZAHLUNGEN!$B$9:$B$128,C1314,SONDERZAHLUNGEN!$C$9:$C$128,A1314,SONDERZAHLUNGEN!$H$9:$H$128,"OK",SONDERZAHLUNGEN!$F$9:$F$128,"Ja")-G1314))</x:f>
      </x:c>
    </x:row>
    <x:row r="1315" ht="19" customHeight="1">
      <x:c r="A1315" s="90" t="n">
        <x:f>MONATSBUDGET!$A$72</x:f>
        <x:v>48183</x:v>
      </x:c>
      <x:c r="B1315" t="n">
        <x:f>16</x:f>
        <x:v>16</x:v>
      </x:c>
      <x:c r="C1315" t="str">
        <x:f>IF($N$24="","",$N$24)</x:f>
      </x:c>
      <x:c r="D1315" s="88" t="str">
        <x:f>IF(C1315="","",I1295)</x:f>
      </x:c>
      <x:c r="E1315" s="88" t="str">
        <x:f>IF(C1315="","",ROUND(D1315*$P$24/12,2))</x:f>
      </x:c>
      <x:c r="F1315" s="88" t="str">
        <x:f>IF(C1315="","",MIN(D1315+E1315,$Q$24))</x:f>
      </x:c>
      <x:c r="G1315" s="88" t="str">
        <x:f>IF(C1315="","",MIN(MAX(0,D1315+E1315-F1315),SUMIFS(SONDERZAHLUNGEN!$E$9:$E$128,SONDERZAHLUNGEN!$B$9:$B$128,C1315,SONDERZAHLUNGEN!$C$9:$C$128,A1315,SONDERZAHLUNGEN!$H$9:$H$128,"OK",SONDERZAHLUNGEN!$F$9:$F$128,"Ja")))</x:f>
      </x:c>
      <x:c r="H1315" s="88" t="str">
        <x:f>IF(C1315="","",MIN(MAX(0,D1315+E1315-F1315-G1315),MAX(0,IF(MONATSBUDGET!$C$72="",0,MONATSBUDGET!$C$72)-SUM(F1300:F1319)-SUM(H1300:H1314))))</x:f>
      </x:c>
      <x:c r="I1315" s="88" t="str">
        <x:f>IF(C1315="","",MAX(0,ROUND(D1315+E1315-F1315-G1315-H1315,2)))</x:f>
      </x:c>
      <x:c r="J1315" s="88" t="str">
        <x:f>IF(C1315="","",F1315+G1315+H1315)</x:f>
      </x:c>
      <x:c r="K1315" s="88" t="str">
        <x:f>IF(C1315="","",MAX(0,SUMIFS(SONDERZAHLUNGEN!$E$9:$E$128,SONDERZAHLUNGEN!$B$9:$B$128,C1315,SONDERZAHLUNGEN!$C$9:$C$128,A1315,SONDERZAHLUNGEN!$H$9:$H$128,"OK",SONDERZAHLUNGEN!$F$9:$F$128,"Ja")-G1315))</x:f>
      </x:c>
    </x:row>
    <x:row r="1316" ht="19" customHeight="1">
      <x:c r="A1316" s="90" t="n">
        <x:f>MONATSBUDGET!$A$72</x:f>
        <x:v>48183</x:v>
      </x:c>
      <x:c r="B1316" t="n">
        <x:f>17</x:f>
        <x:v>17</x:v>
      </x:c>
      <x:c r="C1316" t="str">
        <x:f>IF($N$25="","",$N$25)</x:f>
      </x:c>
      <x:c r="D1316" s="88" t="str">
        <x:f>IF(C1316="","",I1296)</x:f>
      </x:c>
      <x:c r="E1316" s="88" t="str">
        <x:f>IF(C1316="","",ROUND(D1316*$P$25/12,2))</x:f>
      </x:c>
      <x:c r="F1316" s="88" t="str">
        <x:f>IF(C1316="","",MIN(D1316+E1316,$Q$25))</x:f>
      </x:c>
      <x:c r="G1316" s="88" t="str">
        <x:f>IF(C1316="","",MIN(MAX(0,D1316+E1316-F1316),SUMIFS(SONDERZAHLUNGEN!$E$9:$E$128,SONDERZAHLUNGEN!$B$9:$B$128,C1316,SONDERZAHLUNGEN!$C$9:$C$128,A1316,SONDERZAHLUNGEN!$H$9:$H$128,"OK",SONDERZAHLUNGEN!$F$9:$F$128,"Ja")))</x:f>
      </x:c>
      <x:c r="H1316" s="88" t="str">
        <x:f>IF(C1316="","",MIN(MAX(0,D1316+E1316-F1316-G1316),MAX(0,IF(MONATSBUDGET!$C$72="",0,MONATSBUDGET!$C$72)-SUM(F1300:F1319)-SUM(H1300:H1315))))</x:f>
      </x:c>
      <x:c r="I1316" s="88" t="str">
        <x:f>IF(C1316="","",MAX(0,ROUND(D1316+E1316-F1316-G1316-H1316,2)))</x:f>
      </x:c>
      <x:c r="J1316" s="88" t="str">
        <x:f>IF(C1316="","",F1316+G1316+H1316)</x:f>
      </x:c>
      <x:c r="K1316" s="88" t="str">
        <x:f>IF(C1316="","",MAX(0,SUMIFS(SONDERZAHLUNGEN!$E$9:$E$128,SONDERZAHLUNGEN!$B$9:$B$128,C1316,SONDERZAHLUNGEN!$C$9:$C$128,A1316,SONDERZAHLUNGEN!$H$9:$H$128,"OK",SONDERZAHLUNGEN!$F$9:$F$128,"Ja")-G1316))</x:f>
      </x:c>
    </x:row>
    <x:row r="1317" ht="19" customHeight="1">
      <x:c r="A1317" s="90" t="n">
        <x:f>MONATSBUDGET!$A$72</x:f>
        <x:v>48183</x:v>
      </x:c>
      <x:c r="B1317" t="n">
        <x:f>18</x:f>
        <x:v>18</x:v>
      </x:c>
      <x:c r="C1317" t="str">
        <x:f>IF($N$26="","",$N$26)</x:f>
      </x:c>
      <x:c r="D1317" s="88" t="str">
        <x:f>IF(C1317="","",I1297)</x:f>
      </x:c>
      <x:c r="E1317" s="88" t="str">
        <x:f>IF(C1317="","",ROUND(D1317*$P$26/12,2))</x:f>
      </x:c>
      <x:c r="F1317" s="88" t="str">
        <x:f>IF(C1317="","",MIN(D1317+E1317,$Q$26))</x:f>
      </x:c>
      <x:c r="G1317" s="88" t="str">
        <x:f>IF(C1317="","",MIN(MAX(0,D1317+E1317-F1317),SUMIFS(SONDERZAHLUNGEN!$E$9:$E$128,SONDERZAHLUNGEN!$B$9:$B$128,C1317,SONDERZAHLUNGEN!$C$9:$C$128,A1317,SONDERZAHLUNGEN!$H$9:$H$128,"OK",SONDERZAHLUNGEN!$F$9:$F$128,"Ja")))</x:f>
      </x:c>
      <x:c r="H1317" s="88" t="str">
        <x:f>IF(C1317="","",MIN(MAX(0,D1317+E1317-F1317-G1317),MAX(0,IF(MONATSBUDGET!$C$72="",0,MONATSBUDGET!$C$72)-SUM(F1300:F1319)-SUM(H1300:H1316))))</x:f>
      </x:c>
      <x:c r="I1317" s="88" t="str">
        <x:f>IF(C1317="","",MAX(0,ROUND(D1317+E1317-F1317-G1317-H1317,2)))</x:f>
      </x:c>
      <x:c r="J1317" s="88" t="str">
        <x:f>IF(C1317="","",F1317+G1317+H1317)</x:f>
      </x:c>
      <x:c r="K1317" s="88" t="str">
        <x:f>IF(C1317="","",MAX(0,SUMIFS(SONDERZAHLUNGEN!$E$9:$E$128,SONDERZAHLUNGEN!$B$9:$B$128,C1317,SONDERZAHLUNGEN!$C$9:$C$128,A1317,SONDERZAHLUNGEN!$H$9:$H$128,"OK",SONDERZAHLUNGEN!$F$9:$F$128,"Ja")-G1317))</x:f>
      </x:c>
    </x:row>
    <x:row r="1318" ht="19" customHeight="1">
      <x:c r="A1318" s="90" t="n">
        <x:f>MONATSBUDGET!$A$72</x:f>
        <x:v>48183</x:v>
      </x:c>
      <x:c r="B1318" t="n">
        <x:f>19</x:f>
        <x:v>19</x:v>
      </x:c>
      <x:c r="C1318" t="str">
        <x:f>IF($N$27="","",$N$27)</x:f>
      </x:c>
      <x:c r="D1318" s="88" t="str">
        <x:f>IF(C1318="","",I1298)</x:f>
      </x:c>
      <x:c r="E1318" s="88" t="str">
        <x:f>IF(C1318="","",ROUND(D1318*$P$27/12,2))</x:f>
      </x:c>
      <x:c r="F1318" s="88" t="str">
        <x:f>IF(C1318="","",MIN(D1318+E1318,$Q$27))</x:f>
      </x:c>
      <x:c r="G1318" s="88" t="str">
        <x:f>IF(C1318="","",MIN(MAX(0,D1318+E1318-F1318),SUMIFS(SONDERZAHLUNGEN!$E$9:$E$128,SONDERZAHLUNGEN!$B$9:$B$128,C1318,SONDERZAHLUNGEN!$C$9:$C$128,A1318,SONDERZAHLUNGEN!$H$9:$H$128,"OK",SONDERZAHLUNGEN!$F$9:$F$128,"Ja")))</x:f>
      </x:c>
      <x:c r="H1318" s="88" t="str">
        <x:f>IF(C1318="","",MIN(MAX(0,D1318+E1318-F1318-G1318),MAX(0,IF(MONATSBUDGET!$C$72="",0,MONATSBUDGET!$C$72)-SUM(F1300:F1319)-SUM(H1300:H1317))))</x:f>
      </x:c>
      <x:c r="I1318" s="88" t="str">
        <x:f>IF(C1318="","",MAX(0,ROUND(D1318+E1318-F1318-G1318-H1318,2)))</x:f>
      </x:c>
      <x:c r="J1318" s="88" t="str">
        <x:f>IF(C1318="","",F1318+G1318+H1318)</x:f>
      </x:c>
      <x:c r="K1318" s="88" t="str">
        <x:f>IF(C1318="","",MAX(0,SUMIFS(SONDERZAHLUNGEN!$E$9:$E$128,SONDERZAHLUNGEN!$B$9:$B$128,C1318,SONDERZAHLUNGEN!$C$9:$C$128,A1318,SONDERZAHLUNGEN!$H$9:$H$128,"OK",SONDERZAHLUNGEN!$F$9:$F$128,"Ja")-G1318))</x:f>
      </x:c>
    </x:row>
    <x:row r="1319" ht="19" customHeight="1">
      <x:c r="A1319" s="90" t="n">
        <x:f>MONATSBUDGET!$A$72</x:f>
        <x:v>48183</x:v>
      </x:c>
      <x:c r="B1319" t="n">
        <x:f>20</x:f>
        <x:v>20</x:v>
      </x:c>
      <x:c r="C1319" t="str">
        <x:f>IF($N$28="","",$N$28)</x:f>
      </x:c>
      <x:c r="D1319" s="88" t="str">
        <x:f>IF(C1319="","",I1299)</x:f>
      </x:c>
      <x:c r="E1319" s="88" t="str">
        <x:f>IF(C1319="","",ROUND(D1319*$P$28/12,2))</x:f>
      </x:c>
      <x:c r="F1319" s="88" t="str">
        <x:f>IF(C1319="","",MIN(D1319+E1319,$Q$28))</x:f>
      </x:c>
      <x:c r="G1319" s="88" t="str">
        <x:f>IF(C1319="","",MIN(MAX(0,D1319+E1319-F1319),SUMIFS(SONDERZAHLUNGEN!$E$9:$E$128,SONDERZAHLUNGEN!$B$9:$B$128,C1319,SONDERZAHLUNGEN!$C$9:$C$128,A1319,SONDERZAHLUNGEN!$H$9:$H$128,"OK",SONDERZAHLUNGEN!$F$9:$F$128,"Ja")))</x:f>
      </x:c>
      <x:c r="H1319" s="88" t="str">
        <x:f>IF(C1319="","",MIN(MAX(0,D1319+E1319-F1319-G1319),MAX(0,IF(MONATSBUDGET!$C$72="",0,MONATSBUDGET!$C$72)-SUM(F1300:F1319)-SUM(H1300:H1318))))</x:f>
      </x:c>
      <x:c r="I1319" s="88" t="str">
        <x:f>IF(C1319="","",MAX(0,ROUND(D1319+E1319-F1319-G1319-H1319,2)))</x:f>
      </x:c>
      <x:c r="J1319" s="88" t="str">
        <x:f>IF(C1319="","",F1319+G1319+H1319)</x:f>
      </x:c>
      <x:c r="K1319" s="88" t="str">
        <x:f>IF(C1319="","",MAX(0,SUMIFS(SONDERZAHLUNGEN!$E$9:$E$128,SONDERZAHLUNGEN!$B$9:$B$128,C1319,SONDERZAHLUNGEN!$C$9:$C$128,A1319,SONDERZAHLUNGEN!$H$9:$H$128,"OK",SONDERZAHLUNGEN!$F$9:$F$128,"Ja")-G1319))</x:f>
      </x:c>
    </x:row>
    <x:row r="1320" ht="19" customHeight="1">
      <x:c r="A1320" s="90" t="n">
        <x:f>MONATSBUDGET!$A$73</x:f>
        <x:v>48214</x:v>
      </x:c>
      <x:c r="B1320" t="n">
        <x:f>1</x:f>
        <x:v>1</x:v>
      </x:c>
      <x:c r="C1320" t="str">
        <x:f>IF($N$9="","",$N$9)</x:f>
      </x:c>
      <x:c r="D1320" s="88" t="str">
        <x:f>IF(C1320="","",I1300)</x:f>
      </x:c>
      <x:c r="E1320" s="88" t="str">
        <x:f>IF(C1320="","",ROUND(D1320*$P$9/12,2))</x:f>
      </x:c>
      <x:c r="F1320" s="88" t="str">
        <x:f>IF(C1320="","",MIN(D1320+E1320,$Q$9))</x:f>
      </x:c>
      <x:c r="G1320" s="88" t="str">
        <x:f>IF(C1320="","",MIN(MAX(0,D1320+E1320-F1320),SUMIFS(SONDERZAHLUNGEN!$E$9:$E$128,SONDERZAHLUNGEN!$B$9:$B$128,C1320,SONDERZAHLUNGEN!$C$9:$C$128,A1320,SONDERZAHLUNGEN!$H$9:$H$128,"OK",SONDERZAHLUNGEN!$F$9:$F$128,"Ja")))</x:f>
      </x:c>
      <x:c r="H1320" s="88" t="str">
        <x:f>IF(C1320="","",MIN(MAX(0,D1320+E1320-F1320-G1320),MAX(0,IF(MONATSBUDGET!$C$73="",0,MONATSBUDGET!$C$73)-SUM(F1320:F1339)-0)))</x:f>
      </x:c>
      <x:c r="I1320" s="88" t="str">
        <x:f>IF(C1320="","",MAX(0,ROUND(D1320+E1320-F1320-G1320-H1320,2)))</x:f>
      </x:c>
      <x:c r="J1320" s="88" t="str">
        <x:f>IF(C1320="","",F1320+G1320+H1320)</x:f>
      </x:c>
      <x:c r="K1320" s="88" t="str">
        <x:f>IF(C1320="","",MAX(0,SUMIFS(SONDERZAHLUNGEN!$E$9:$E$128,SONDERZAHLUNGEN!$B$9:$B$128,C1320,SONDERZAHLUNGEN!$C$9:$C$128,A1320,SONDERZAHLUNGEN!$H$9:$H$128,"OK",SONDERZAHLUNGEN!$F$9:$F$128,"Ja")-G1320))</x:f>
      </x:c>
    </x:row>
    <x:row r="1321" ht="19" customHeight="1">
      <x:c r="A1321" s="90" t="n">
        <x:f>MONATSBUDGET!$A$73</x:f>
        <x:v>48214</x:v>
      </x:c>
      <x:c r="B1321" t="n">
        <x:f>2</x:f>
        <x:v>2</x:v>
      </x:c>
      <x:c r="C1321" t="str">
        <x:f>IF($N$10="","",$N$10)</x:f>
      </x:c>
      <x:c r="D1321" s="88" t="str">
        <x:f>IF(C1321="","",I1301)</x:f>
      </x:c>
      <x:c r="E1321" s="88" t="str">
        <x:f>IF(C1321="","",ROUND(D1321*$P$10/12,2))</x:f>
      </x:c>
      <x:c r="F1321" s="88" t="str">
        <x:f>IF(C1321="","",MIN(D1321+E1321,$Q$10))</x:f>
      </x:c>
      <x:c r="G1321" s="88" t="str">
        <x:f>IF(C1321="","",MIN(MAX(0,D1321+E1321-F1321),SUMIFS(SONDERZAHLUNGEN!$E$9:$E$128,SONDERZAHLUNGEN!$B$9:$B$128,C1321,SONDERZAHLUNGEN!$C$9:$C$128,A1321,SONDERZAHLUNGEN!$H$9:$H$128,"OK",SONDERZAHLUNGEN!$F$9:$F$128,"Ja")))</x:f>
      </x:c>
      <x:c r="H1321" s="88" t="str">
        <x:f>IF(C1321="","",MIN(MAX(0,D1321+E1321-F1321-G1321),MAX(0,IF(MONATSBUDGET!$C$73="",0,MONATSBUDGET!$C$73)-SUM(F1320:F1339)-SUM(H1320:H1320))))</x:f>
      </x:c>
      <x:c r="I1321" s="88" t="str">
        <x:f>IF(C1321="","",MAX(0,ROUND(D1321+E1321-F1321-G1321-H1321,2)))</x:f>
      </x:c>
      <x:c r="J1321" s="88" t="str">
        <x:f>IF(C1321="","",F1321+G1321+H1321)</x:f>
      </x:c>
      <x:c r="K1321" s="88" t="str">
        <x:f>IF(C1321="","",MAX(0,SUMIFS(SONDERZAHLUNGEN!$E$9:$E$128,SONDERZAHLUNGEN!$B$9:$B$128,C1321,SONDERZAHLUNGEN!$C$9:$C$128,A1321,SONDERZAHLUNGEN!$H$9:$H$128,"OK",SONDERZAHLUNGEN!$F$9:$F$128,"Ja")-G1321))</x:f>
      </x:c>
    </x:row>
    <x:row r="1322" ht="19" customHeight="1">
      <x:c r="A1322" s="90" t="n">
        <x:f>MONATSBUDGET!$A$73</x:f>
        <x:v>48214</x:v>
      </x:c>
      <x:c r="B1322" t="n">
        <x:f>3</x:f>
        <x:v>3</x:v>
      </x:c>
      <x:c r="C1322" t="str">
        <x:f>IF($N$11="","",$N$11)</x:f>
      </x:c>
      <x:c r="D1322" s="88" t="str">
        <x:f>IF(C1322="","",I1302)</x:f>
      </x:c>
      <x:c r="E1322" s="88" t="str">
        <x:f>IF(C1322="","",ROUND(D1322*$P$11/12,2))</x:f>
      </x:c>
      <x:c r="F1322" s="88" t="str">
        <x:f>IF(C1322="","",MIN(D1322+E1322,$Q$11))</x:f>
      </x:c>
      <x:c r="G1322" s="88" t="str">
        <x:f>IF(C1322="","",MIN(MAX(0,D1322+E1322-F1322),SUMIFS(SONDERZAHLUNGEN!$E$9:$E$128,SONDERZAHLUNGEN!$B$9:$B$128,C1322,SONDERZAHLUNGEN!$C$9:$C$128,A1322,SONDERZAHLUNGEN!$H$9:$H$128,"OK",SONDERZAHLUNGEN!$F$9:$F$128,"Ja")))</x:f>
      </x:c>
      <x:c r="H1322" s="88" t="str">
        <x:f>IF(C1322="","",MIN(MAX(0,D1322+E1322-F1322-G1322),MAX(0,IF(MONATSBUDGET!$C$73="",0,MONATSBUDGET!$C$73)-SUM(F1320:F1339)-SUM(H1320:H1321))))</x:f>
      </x:c>
      <x:c r="I1322" s="88" t="str">
        <x:f>IF(C1322="","",MAX(0,ROUND(D1322+E1322-F1322-G1322-H1322,2)))</x:f>
      </x:c>
      <x:c r="J1322" s="88" t="str">
        <x:f>IF(C1322="","",F1322+G1322+H1322)</x:f>
      </x:c>
      <x:c r="K1322" s="88" t="str">
        <x:f>IF(C1322="","",MAX(0,SUMIFS(SONDERZAHLUNGEN!$E$9:$E$128,SONDERZAHLUNGEN!$B$9:$B$128,C1322,SONDERZAHLUNGEN!$C$9:$C$128,A1322,SONDERZAHLUNGEN!$H$9:$H$128,"OK",SONDERZAHLUNGEN!$F$9:$F$128,"Ja")-G1322))</x:f>
      </x:c>
    </x:row>
    <x:row r="1323" ht="19" customHeight="1">
      <x:c r="A1323" s="90" t="n">
        <x:f>MONATSBUDGET!$A$73</x:f>
        <x:v>48214</x:v>
      </x:c>
      <x:c r="B1323" t="n">
        <x:f>4</x:f>
        <x:v>4</x:v>
      </x:c>
      <x:c r="C1323" t="str">
        <x:f>IF($N$12="","",$N$12)</x:f>
      </x:c>
      <x:c r="D1323" s="88" t="str">
        <x:f>IF(C1323="","",I1303)</x:f>
      </x:c>
      <x:c r="E1323" s="88" t="str">
        <x:f>IF(C1323="","",ROUND(D1323*$P$12/12,2))</x:f>
      </x:c>
      <x:c r="F1323" s="88" t="str">
        <x:f>IF(C1323="","",MIN(D1323+E1323,$Q$12))</x:f>
      </x:c>
      <x:c r="G1323" s="88" t="str">
        <x:f>IF(C1323="","",MIN(MAX(0,D1323+E1323-F1323),SUMIFS(SONDERZAHLUNGEN!$E$9:$E$128,SONDERZAHLUNGEN!$B$9:$B$128,C1323,SONDERZAHLUNGEN!$C$9:$C$128,A1323,SONDERZAHLUNGEN!$H$9:$H$128,"OK",SONDERZAHLUNGEN!$F$9:$F$128,"Ja")))</x:f>
      </x:c>
      <x:c r="H1323" s="88" t="str">
        <x:f>IF(C1323="","",MIN(MAX(0,D1323+E1323-F1323-G1323),MAX(0,IF(MONATSBUDGET!$C$73="",0,MONATSBUDGET!$C$73)-SUM(F1320:F1339)-SUM(H1320:H1322))))</x:f>
      </x:c>
      <x:c r="I1323" s="88" t="str">
        <x:f>IF(C1323="","",MAX(0,ROUND(D1323+E1323-F1323-G1323-H1323,2)))</x:f>
      </x:c>
      <x:c r="J1323" s="88" t="str">
        <x:f>IF(C1323="","",F1323+G1323+H1323)</x:f>
      </x:c>
      <x:c r="K1323" s="88" t="str">
        <x:f>IF(C1323="","",MAX(0,SUMIFS(SONDERZAHLUNGEN!$E$9:$E$128,SONDERZAHLUNGEN!$B$9:$B$128,C1323,SONDERZAHLUNGEN!$C$9:$C$128,A1323,SONDERZAHLUNGEN!$H$9:$H$128,"OK",SONDERZAHLUNGEN!$F$9:$F$128,"Ja")-G1323))</x:f>
      </x:c>
    </x:row>
    <x:row r="1324" ht="19" customHeight="1">
      <x:c r="A1324" s="90" t="n">
        <x:f>MONATSBUDGET!$A$73</x:f>
        <x:v>48214</x:v>
      </x:c>
      <x:c r="B1324" t="n">
        <x:f>5</x:f>
        <x:v>5</x:v>
      </x:c>
      <x:c r="C1324" t="str">
        <x:f>IF($N$13="","",$N$13)</x:f>
      </x:c>
      <x:c r="D1324" s="88" t="str">
        <x:f>IF(C1324="","",I1304)</x:f>
      </x:c>
      <x:c r="E1324" s="88" t="str">
        <x:f>IF(C1324="","",ROUND(D1324*$P$13/12,2))</x:f>
      </x:c>
      <x:c r="F1324" s="88" t="str">
        <x:f>IF(C1324="","",MIN(D1324+E1324,$Q$13))</x:f>
      </x:c>
      <x:c r="G1324" s="88" t="str">
        <x:f>IF(C1324="","",MIN(MAX(0,D1324+E1324-F1324),SUMIFS(SONDERZAHLUNGEN!$E$9:$E$128,SONDERZAHLUNGEN!$B$9:$B$128,C1324,SONDERZAHLUNGEN!$C$9:$C$128,A1324,SONDERZAHLUNGEN!$H$9:$H$128,"OK",SONDERZAHLUNGEN!$F$9:$F$128,"Ja")))</x:f>
      </x:c>
      <x:c r="H1324" s="88" t="str">
        <x:f>IF(C1324="","",MIN(MAX(0,D1324+E1324-F1324-G1324),MAX(0,IF(MONATSBUDGET!$C$73="",0,MONATSBUDGET!$C$73)-SUM(F1320:F1339)-SUM(H1320:H1323))))</x:f>
      </x:c>
      <x:c r="I1324" s="88" t="str">
        <x:f>IF(C1324="","",MAX(0,ROUND(D1324+E1324-F1324-G1324-H1324,2)))</x:f>
      </x:c>
      <x:c r="J1324" s="88" t="str">
        <x:f>IF(C1324="","",F1324+G1324+H1324)</x:f>
      </x:c>
      <x:c r="K1324" s="88" t="str">
        <x:f>IF(C1324="","",MAX(0,SUMIFS(SONDERZAHLUNGEN!$E$9:$E$128,SONDERZAHLUNGEN!$B$9:$B$128,C1324,SONDERZAHLUNGEN!$C$9:$C$128,A1324,SONDERZAHLUNGEN!$H$9:$H$128,"OK",SONDERZAHLUNGEN!$F$9:$F$128,"Ja")-G1324))</x:f>
      </x:c>
    </x:row>
    <x:row r="1325" ht="19" customHeight="1">
      <x:c r="A1325" s="90" t="n">
        <x:f>MONATSBUDGET!$A$73</x:f>
        <x:v>48214</x:v>
      </x:c>
      <x:c r="B1325" t="n">
        <x:f>6</x:f>
        <x:v>6</x:v>
      </x:c>
      <x:c r="C1325" t="str">
        <x:f>IF($N$14="","",$N$14)</x:f>
      </x:c>
      <x:c r="D1325" s="88" t="str">
        <x:f>IF(C1325="","",I1305)</x:f>
      </x:c>
      <x:c r="E1325" s="88" t="str">
        <x:f>IF(C1325="","",ROUND(D1325*$P$14/12,2))</x:f>
      </x:c>
      <x:c r="F1325" s="88" t="str">
        <x:f>IF(C1325="","",MIN(D1325+E1325,$Q$14))</x:f>
      </x:c>
      <x:c r="G1325" s="88" t="str">
        <x:f>IF(C1325="","",MIN(MAX(0,D1325+E1325-F1325),SUMIFS(SONDERZAHLUNGEN!$E$9:$E$128,SONDERZAHLUNGEN!$B$9:$B$128,C1325,SONDERZAHLUNGEN!$C$9:$C$128,A1325,SONDERZAHLUNGEN!$H$9:$H$128,"OK",SONDERZAHLUNGEN!$F$9:$F$128,"Ja")))</x:f>
      </x:c>
      <x:c r="H1325" s="88" t="str">
        <x:f>IF(C1325="","",MIN(MAX(0,D1325+E1325-F1325-G1325),MAX(0,IF(MONATSBUDGET!$C$73="",0,MONATSBUDGET!$C$73)-SUM(F1320:F1339)-SUM(H1320:H1324))))</x:f>
      </x:c>
      <x:c r="I1325" s="88" t="str">
        <x:f>IF(C1325="","",MAX(0,ROUND(D1325+E1325-F1325-G1325-H1325,2)))</x:f>
      </x:c>
      <x:c r="J1325" s="88" t="str">
        <x:f>IF(C1325="","",F1325+G1325+H1325)</x:f>
      </x:c>
      <x:c r="K1325" s="88" t="str">
        <x:f>IF(C1325="","",MAX(0,SUMIFS(SONDERZAHLUNGEN!$E$9:$E$128,SONDERZAHLUNGEN!$B$9:$B$128,C1325,SONDERZAHLUNGEN!$C$9:$C$128,A1325,SONDERZAHLUNGEN!$H$9:$H$128,"OK",SONDERZAHLUNGEN!$F$9:$F$128,"Ja")-G1325))</x:f>
      </x:c>
    </x:row>
    <x:row r="1326" ht="19" customHeight="1">
      <x:c r="A1326" s="90" t="n">
        <x:f>MONATSBUDGET!$A$73</x:f>
        <x:v>48214</x:v>
      </x:c>
      <x:c r="B1326" t="n">
        <x:f>7</x:f>
        <x:v>7</x:v>
      </x:c>
      <x:c r="C1326" t="str">
        <x:f>IF($N$15="","",$N$15)</x:f>
      </x:c>
      <x:c r="D1326" s="88" t="str">
        <x:f>IF(C1326="","",I1306)</x:f>
      </x:c>
      <x:c r="E1326" s="88" t="str">
        <x:f>IF(C1326="","",ROUND(D1326*$P$15/12,2))</x:f>
      </x:c>
      <x:c r="F1326" s="88" t="str">
        <x:f>IF(C1326="","",MIN(D1326+E1326,$Q$15))</x:f>
      </x:c>
      <x:c r="G1326" s="88" t="str">
        <x:f>IF(C1326="","",MIN(MAX(0,D1326+E1326-F1326),SUMIFS(SONDERZAHLUNGEN!$E$9:$E$128,SONDERZAHLUNGEN!$B$9:$B$128,C1326,SONDERZAHLUNGEN!$C$9:$C$128,A1326,SONDERZAHLUNGEN!$H$9:$H$128,"OK",SONDERZAHLUNGEN!$F$9:$F$128,"Ja")))</x:f>
      </x:c>
      <x:c r="H1326" s="88" t="str">
        <x:f>IF(C1326="","",MIN(MAX(0,D1326+E1326-F1326-G1326),MAX(0,IF(MONATSBUDGET!$C$73="",0,MONATSBUDGET!$C$73)-SUM(F1320:F1339)-SUM(H1320:H1325))))</x:f>
      </x:c>
      <x:c r="I1326" s="88" t="str">
        <x:f>IF(C1326="","",MAX(0,ROUND(D1326+E1326-F1326-G1326-H1326,2)))</x:f>
      </x:c>
      <x:c r="J1326" s="88" t="str">
        <x:f>IF(C1326="","",F1326+G1326+H1326)</x:f>
      </x:c>
      <x:c r="K1326" s="88" t="str">
        <x:f>IF(C1326="","",MAX(0,SUMIFS(SONDERZAHLUNGEN!$E$9:$E$128,SONDERZAHLUNGEN!$B$9:$B$128,C1326,SONDERZAHLUNGEN!$C$9:$C$128,A1326,SONDERZAHLUNGEN!$H$9:$H$128,"OK",SONDERZAHLUNGEN!$F$9:$F$128,"Ja")-G1326))</x:f>
      </x:c>
    </x:row>
    <x:row r="1327" ht="19" customHeight="1">
      <x:c r="A1327" s="90" t="n">
        <x:f>MONATSBUDGET!$A$73</x:f>
        <x:v>48214</x:v>
      </x:c>
      <x:c r="B1327" t="n">
        <x:f>8</x:f>
        <x:v>8</x:v>
      </x:c>
      <x:c r="C1327" t="str">
        <x:f>IF($N$16="","",$N$16)</x:f>
      </x:c>
      <x:c r="D1327" s="88" t="str">
        <x:f>IF(C1327="","",I1307)</x:f>
      </x:c>
      <x:c r="E1327" s="88" t="str">
        <x:f>IF(C1327="","",ROUND(D1327*$P$16/12,2))</x:f>
      </x:c>
      <x:c r="F1327" s="88" t="str">
        <x:f>IF(C1327="","",MIN(D1327+E1327,$Q$16))</x:f>
      </x:c>
      <x:c r="G1327" s="88" t="str">
        <x:f>IF(C1327="","",MIN(MAX(0,D1327+E1327-F1327),SUMIFS(SONDERZAHLUNGEN!$E$9:$E$128,SONDERZAHLUNGEN!$B$9:$B$128,C1327,SONDERZAHLUNGEN!$C$9:$C$128,A1327,SONDERZAHLUNGEN!$H$9:$H$128,"OK",SONDERZAHLUNGEN!$F$9:$F$128,"Ja")))</x:f>
      </x:c>
      <x:c r="H1327" s="88" t="str">
        <x:f>IF(C1327="","",MIN(MAX(0,D1327+E1327-F1327-G1327),MAX(0,IF(MONATSBUDGET!$C$73="",0,MONATSBUDGET!$C$73)-SUM(F1320:F1339)-SUM(H1320:H1326))))</x:f>
      </x:c>
      <x:c r="I1327" s="88" t="str">
        <x:f>IF(C1327="","",MAX(0,ROUND(D1327+E1327-F1327-G1327-H1327,2)))</x:f>
      </x:c>
      <x:c r="J1327" s="88" t="str">
        <x:f>IF(C1327="","",F1327+G1327+H1327)</x:f>
      </x:c>
      <x:c r="K1327" s="88" t="str">
        <x:f>IF(C1327="","",MAX(0,SUMIFS(SONDERZAHLUNGEN!$E$9:$E$128,SONDERZAHLUNGEN!$B$9:$B$128,C1327,SONDERZAHLUNGEN!$C$9:$C$128,A1327,SONDERZAHLUNGEN!$H$9:$H$128,"OK",SONDERZAHLUNGEN!$F$9:$F$128,"Ja")-G1327))</x:f>
      </x:c>
    </x:row>
    <x:row r="1328" ht="19" customHeight="1">
      <x:c r="A1328" s="90" t="n">
        <x:f>MONATSBUDGET!$A$73</x:f>
        <x:v>48214</x:v>
      </x:c>
      <x:c r="B1328" t="n">
        <x:f>9</x:f>
        <x:v>9</x:v>
      </x:c>
      <x:c r="C1328" t="str">
        <x:f>IF($N$17="","",$N$17)</x:f>
      </x:c>
      <x:c r="D1328" s="88" t="str">
        <x:f>IF(C1328="","",I1308)</x:f>
      </x:c>
      <x:c r="E1328" s="88" t="str">
        <x:f>IF(C1328="","",ROUND(D1328*$P$17/12,2))</x:f>
      </x:c>
      <x:c r="F1328" s="88" t="str">
        <x:f>IF(C1328="","",MIN(D1328+E1328,$Q$17))</x:f>
      </x:c>
      <x:c r="G1328" s="88" t="str">
        <x:f>IF(C1328="","",MIN(MAX(0,D1328+E1328-F1328),SUMIFS(SONDERZAHLUNGEN!$E$9:$E$128,SONDERZAHLUNGEN!$B$9:$B$128,C1328,SONDERZAHLUNGEN!$C$9:$C$128,A1328,SONDERZAHLUNGEN!$H$9:$H$128,"OK",SONDERZAHLUNGEN!$F$9:$F$128,"Ja")))</x:f>
      </x:c>
      <x:c r="H1328" s="88" t="str">
        <x:f>IF(C1328="","",MIN(MAX(0,D1328+E1328-F1328-G1328),MAX(0,IF(MONATSBUDGET!$C$73="",0,MONATSBUDGET!$C$73)-SUM(F1320:F1339)-SUM(H1320:H1327))))</x:f>
      </x:c>
      <x:c r="I1328" s="88" t="str">
        <x:f>IF(C1328="","",MAX(0,ROUND(D1328+E1328-F1328-G1328-H1328,2)))</x:f>
      </x:c>
      <x:c r="J1328" s="88" t="str">
        <x:f>IF(C1328="","",F1328+G1328+H1328)</x:f>
      </x:c>
      <x:c r="K1328" s="88" t="str">
        <x:f>IF(C1328="","",MAX(0,SUMIFS(SONDERZAHLUNGEN!$E$9:$E$128,SONDERZAHLUNGEN!$B$9:$B$128,C1328,SONDERZAHLUNGEN!$C$9:$C$128,A1328,SONDERZAHLUNGEN!$H$9:$H$128,"OK",SONDERZAHLUNGEN!$F$9:$F$128,"Ja")-G1328))</x:f>
      </x:c>
    </x:row>
    <x:row r="1329" ht="19" customHeight="1">
      <x:c r="A1329" s="90" t="n">
        <x:f>MONATSBUDGET!$A$73</x:f>
        <x:v>48214</x:v>
      </x:c>
      <x:c r="B1329" t="n">
        <x:f>10</x:f>
        <x:v>10</x:v>
      </x:c>
      <x:c r="C1329" t="str">
        <x:f>IF($N$18="","",$N$18)</x:f>
      </x:c>
      <x:c r="D1329" s="88" t="str">
        <x:f>IF(C1329="","",I1309)</x:f>
      </x:c>
      <x:c r="E1329" s="88" t="str">
        <x:f>IF(C1329="","",ROUND(D1329*$P$18/12,2))</x:f>
      </x:c>
      <x:c r="F1329" s="88" t="str">
        <x:f>IF(C1329="","",MIN(D1329+E1329,$Q$18))</x:f>
      </x:c>
      <x:c r="G1329" s="88" t="str">
        <x:f>IF(C1329="","",MIN(MAX(0,D1329+E1329-F1329),SUMIFS(SONDERZAHLUNGEN!$E$9:$E$128,SONDERZAHLUNGEN!$B$9:$B$128,C1329,SONDERZAHLUNGEN!$C$9:$C$128,A1329,SONDERZAHLUNGEN!$H$9:$H$128,"OK",SONDERZAHLUNGEN!$F$9:$F$128,"Ja")))</x:f>
      </x:c>
      <x:c r="H1329" s="88" t="str">
        <x:f>IF(C1329="","",MIN(MAX(0,D1329+E1329-F1329-G1329),MAX(0,IF(MONATSBUDGET!$C$73="",0,MONATSBUDGET!$C$73)-SUM(F1320:F1339)-SUM(H1320:H1328))))</x:f>
      </x:c>
      <x:c r="I1329" s="88" t="str">
        <x:f>IF(C1329="","",MAX(0,ROUND(D1329+E1329-F1329-G1329-H1329,2)))</x:f>
      </x:c>
      <x:c r="J1329" s="88" t="str">
        <x:f>IF(C1329="","",F1329+G1329+H1329)</x:f>
      </x:c>
      <x:c r="K1329" s="88" t="str">
        <x:f>IF(C1329="","",MAX(0,SUMIFS(SONDERZAHLUNGEN!$E$9:$E$128,SONDERZAHLUNGEN!$B$9:$B$128,C1329,SONDERZAHLUNGEN!$C$9:$C$128,A1329,SONDERZAHLUNGEN!$H$9:$H$128,"OK",SONDERZAHLUNGEN!$F$9:$F$128,"Ja")-G1329))</x:f>
      </x:c>
    </x:row>
    <x:row r="1330" ht="19" customHeight="1">
      <x:c r="A1330" s="90" t="n">
        <x:f>MONATSBUDGET!$A$73</x:f>
        <x:v>48214</x:v>
      </x:c>
      <x:c r="B1330" t="n">
        <x:f>11</x:f>
        <x:v>11</x:v>
      </x:c>
      <x:c r="C1330" t="str">
        <x:f>IF($N$19="","",$N$19)</x:f>
      </x:c>
      <x:c r="D1330" s="88" t="str">
        <x:f>IF(C1330="","",I1310)</x:f>
      </x:c>
      <x:c r="E1330" s="88" t="str">
        <x:f>IF(C1330="","",ROUND(D1330*$P$19/12,2))</x:f>
      </x:c>
      <x:c r="F1330" s="88" t="str">
        <x:f>IF(C1330="","",MIN(D1330+E1330,$Q$19))</x:f>
      </x:c>
      <x:c r="G1330" s="88" t="str">
        <x:f>IF(C1330="","",MIN(MAX(0,D1330+E1330-F1330),SUMIFS(SONDERZAHLUNGEN!$E$9:$E$128,SONDERZAHLUNGEN!$B$9:$B$128,C1330,SONDERZAHLUNGEN!$C$9:$C$128,A1330,SONDERZAHLUNGEN!$H$9:$H$128,"OK",SONDERZAHLUNGEN!$F$9:$F$128,"Ja")))</x:f>
      </x:c>
      <x:c r="H1330" s="88" t="str">
        <x:f>IF(C1330="","",MIN(MAX(0,D1330+E1330-F1330-G1330),MAX(0,IF(MONATSBUDGET!$C$73="",0,MONATSBUDGET!$C$73)-SUM(F1320:F1339)-SUM(H1320:H1329))))</x:f>
      </x:c>
      <x:c r="I1330" s="88" t="str">
        <x:f>IF(C1330="","",MAX(0,ROUND(D1330+E1330-F1330-G1330-H1330,2)))</x:f>
      </x:c>
      <x:c r="J1330" s="88" t="str">
        <x:f>IF(C1330="","",F1330+G1330+H1330)</x:f>
      </x:c>
      <x:c r="K1330" s="88" t="str">
        <x:f>IF(C1330="","",MAX(0,SUMIFS(SONDERZAHLUNGEN!$E$9:$E$128,SONDERZAHLUNGEN!$B$9:$B$128,C1330,SONDERZAHLUNGEN!$C$9:$C$128,A1330,SONDERZAHLUNGEN!$H$9:$H$128,"OK",SONDERZAHLUNGEN!$F$9:$F$128,"Ja")-G1330))</x:f>
      </x:c>
    </x:row>
    <x:row r="1331" ht="19" customHeight="1">
      <x:c r="A1331" s="90" t="n">
        <x:f>MONATSBUDGET!$A$73</x:f>
        <x:v>48214</x:v>
      </x:c>
      <x:c r="B1331" t="n">
        <x:f>12</x:f>
        <x:v>12</x:v>
      </x:c>
      <x:c r="C1331" t="str">
        <x:f>IF($N$20="","",$N$20)</x:f>
      </x:c>
      <x:c r="D1331" s="88" t="str">
        <x:f>IF(C1331="","",I1311)</x:f>
      </x:c>
      <x:c r="E1331" s="88" t="str">
        <x:f>IF(C1331="","",ROUND(D1331*$P$20/12,2))</x:f>
      </x:c>
      <x:c r="F1331" s="88" t="str">
        <x:f>IF(C1331="","",MIN(D1331+E1331,$Q$20))</x:f>
      </x:c>
      <x:c r="G1331" s="88" t="str">
        <x:f>IF(C1331="","",MIN(MAX(0,D1331+E1331-F1331),SUMIFS(SONDERZAHLUNGEN!$E$9:$E$128,SONDERZAHLUNGEN!$B$9:$B$128,C1331,SONDERZAHLUNGEN!$C$9:$C$128,A1331,SONDERZAHLUNGEN!$H$9:$H$128,"OK",SONDERZAHLUNGEN!$F$9:$F$128,"Ja")))</x:f>
      </x:c>
      <x:c r="H1331" s="88" t="str">
        <x:f>IF(C1331="","",MIN(MAX(0,D1331+E1331-F1331-G1331),MAX(0,IF(MONATSBUDGET!$C$73="",0,MONATSBUDGET!$C$73)-SUM(F1320:F1339)-SUM(H1320:H1330))))</x:f>
      </x:c>
      <x:c r="I1331" s="88" t="str">
        <x:f>IF(C1331="","",MAX(0,ROUND(D1331+E1331-F1331-G1331-H1331,2)))</x:f>
      </x:c>
      <x:c r="J1331" s="88" t="str">
        <x:f>IF(C1331="","",F1331+G1331+H1331)</x:f>
      </x:c>
      <x:c r="K1331" s="88" t="str">
        <x:f>IF(C1331="","",MAX(0,SUMIFS(SONDERZAHLUNGEN!$E$9:$E$128,SONDERZAHLUNGEN!$B$9:$B$128,C1331,SONDERZAHLUNGEN!$C$9:$C$128,A1331,SONDERZAHLUNGEN!$H$9:$H$128,"OK",SONDERZAHLUNGEN!$F$9:$F$128,"Ja")-G1331))</x:f>
      </x:c>
    </x:row>
    <x:row r="1332" ht="19" customHeight="1">
      <x:c r="A1332" s="90" t="n">
        <x:f>MONATSBUDGET!$A$73</x:f>
        <x:v>48214</x:v>
      </x:c>
      <x:c r="B1332" t="n">
        <x:f>13</x:f>
        <x:v>13</x:v>
      </x:c>
      <x:c r="C1332" t="str">
        <x:f>IF($N$21="","",$N$21)</x:f>
      </x:c>
      <x:c r="D1332" s="88" t="str">
        <x:f>IF(C1332="","",I1312)</x:f>
      </x:c>
      <x:c r="E1332" s="88" t="str">
        <x:f>IF(C1332="","",ROUND(D1332*$P$21/12,2))</x:f>
      </x:c>
      <x:c r="F1332" s="88" t="str">
        <x:f>IF(C1332="","",MIN(D1332+E1332,$Q$21))</x:f>
      </x:c>
      <x:c r="G1332" s="88" t="str">
        <x:f>IF(C1332="","",MIN(MAX(0,D1332+E1332-F1332),SUMIFS(SONDERZAHLUNGEN!$E$9:$E$128,SONDERZAHLUNGEN!$B$9:$B$128,C1332,SONDERZAHLUNGEN!$C$9:$C$128,A1332,SONDERZAHLUNGEN!$H$9:$H$128,"OK",SONDERZAHLUNGEN!$F$9:$F$128,"Ja")))</x:f>
      </x:c>
      <x:c r="H1332" s="88" t="str">
        <x:f>IF(C1332="","",MIN(MAX(0,D1332+E1332-F1332-G1332),MAX(0,IF(MONATSBUDGET!$C$73="",0,MONATSBUDGET!$C$73)-SUM(F1320:F1339)-SUM(H1320:H1331))))</x:f>
      </x:c>
      <x:c r="I1332" s="88" t="str">
        <x:f>IF(C1332="","",MAX(0,ROUND(D1332+E1332-F1332-G1332-H1332,2)))</x:f>
      </x:c>
      <x:c r="J1332" s="88" t="str">
        <x:f>IF(C1332="","",F1332+G1332+H1332)</x:f>
      </x:c>
      <x:c r="K1332" s="88" t="str">
        <x:f>IF(C1332="","",MAX(0,SUMIFS(SONDERZAHLUNGEN!$E$9:$E$128,SONDERZAHLUNGEN!$B$9:$B$128,C1332,SONDERZAHLUNGEN!$C$9:$C$128,A1332,SONDERZAHLUNGEN!$H$9:$H$128,"OK",SONDERZAHLUNGEN!$F$9:$F$128,"Ja")-G1332))</x:f>
      </x:c>
    </x:row>
    <x:row r="1333" ht="19" customHeight="1">
      <x:c r="A1333" s="90" t="n">
        <x:f>MONATSBUDGET!$A$73</x:f>
        <x:v>48214</x:v>
      </x:c>
      <x:c r="B1333" t="n">
        <x:f>14</x:f>
        <x:v>14</x:v>
      </x:c>
      <x:c r="C1333" t="str">
        <x:f>IF($N$22="","",$N$22)</x:f>
      </x:c>
      <x:c r="D1333" s="88" t="str">
        <x:f>IF(C1333="","",I1313)</x:f>
      </x:c>
      <x:c r="E1333" s="88" t="str">
        <x:f>IF(C1333="","",ROUND(D1333*$P$22/12,2))</x:f>
      </x:c>
      <x:c r="F1333" s="88" t="str">
        <x:f>IF(C1333="","",MIN(D1333+E1333,$Q$22))</x:f>
      </x:c>
      <x:c r="G1333" s="88" t="str">
        <x:f>IF(C1333="","",MIN(MAX(0,D1333+E1333-F1333),SUMIFS(SONDERZAHLUNGEN!$E$9:$E$128,SONDERZAHLUNGEN!$B$9:$B$128,C1333,SONDERZAHLUNGEN!$C$9:$C$128,A1333,SONDERZAHLUNGEN!$H$9:$H$128,"OK",SONDERZAHLUNGEN!$F$9:$F$128,"Ja")))</x:f>
      </x:c>
      <x:c r="H1333" s="88" t="str">
        <x:f>IF(C1333="","",MIN(MAX(0,D1333+E1333-F1333-G1333),MAX(0,IF(MONATSBUDGET!$C$73="",0,MONATSBUDGET!$C$73)-SUM(F1320:F1339)-SUM(H1320:H1332))))</x:f>
      </x:c>
      <x:c r="I1333" s="88" t="str">
        <x:f>IF(C1333="","",MAX(0,ROUND(D1333+E1333-F1333-G1333-H1333,2)))</x:f>
      </x:c>
      <x:c r="J1333" s="88" t="str">
        <x:f>IF(C1333="","",F1333+G1333+H1333)</x:f>
      </x:c>
      <x:c r="K1333" s="88" t="str">
        <x:f>IF(C1333="","",MAX(0,SUMIFS(SONDERZAHLUNGEN!$E$9:$E$128,SONDERZAHLUNGEN!$B$9:$B$128,C1333,SONDERZAHLUNGEN!$C$9:$C$128,A1333,SONDERZAHLUNGEN!$H$9:$H$128,"OK",SONDERZAHLUNGEN!$F$9:$F$128,"Ja")-G1333))</x:f>
      </x:c>
    </x:row>
    <x:row r="1334" ht="19" customHeight="1">
      <x:c r="A1334" s="90" t="n">
        <x:f>MONATSBUDGET!$A$73</x:f>
        <x:v>48214</x:v>
      </x:c>
      <x:c r="B1334" t="n">
        <x:f>15</x:f>
        <x:v>15</x:v>
      </x:c>
      <x:c r="C1334" t="str">
        <x:f>IF($N$23="","",$N$23)</x:f>
      </x:c>
      <x:c r="D1334" s="88" t="str">
        <x:f>IF(C1334="","",I1314)</x:f>
      </x:c>
      <x:c r="E1334" s="88" t="str">
        <x:f>IF(C1334="","",ROUND(D1334*$P$23/12,2))</x:f>
      </x:c>
      <x:c r="F1334" s="88" t="str">
        <x:f>IF(C1334="","",MIN(D1334+E1334,$Q$23))</x:f>
      </x:c>
      <x:c r="G1334" s="88" t="str">
        <x:f>IF(C1334="","",MIN(MAX(0,D1334+E1334-F1334),SUMIFS(SONDERZAHLUNGEN!$E$9:$E$128,SONDERZAHLUNGEN!$B$9:$B$128,C1334,SONDERZAHLUNGEN!$C$9:$C$128,A1334,SONDERZAHLUNGEN!$H$9:$H$128,"OK",SONDERZAHLUNGEN!$F$9:$F$128,"Ja")))</x:f>
      </x:c>
      <x:c r="H1334" s="88" t="str">
        <x:f>IF(C1334="","",MIN(MAX(0,D1334+E1334-F1334-G1334),MAX(0,IF(MONATSBUDGET!$C$73="",0,MONATSBUDGET!$C$73)-SUM(F1320:F1339)-SUM(H1320:H1333))))</x:f>
      </x:c>
      <x:c r="I1334" s="88" t="str">
        <x:f>IF(C1334="","",MAX(0,ROUND(D1334+E1334-F1334-G1334-H1334,2)))</x:f>
      </x:c>
      <x:c r="J1334" s="88" t="str">
        <x:f>IF(C1334="","",F1334+G1334+H1334)</x:f>
      </x:c>
      <x:c r="K1334" s="88" t="str">
        <x:f>IF(C1334="","",MAX(0,SUMIFS(SONDERZAHLUNGEN!$E$9:$E$128,SONDERZAHLUNGEN!$B$9:$B$128,C1334,SONDERZAHLUNGEN!$C$9:$C$128,A1334,SONDERZAHLUNGEN!$H$9:$H$128,"OK",SONDERZAHLUNGEN!$F$9:$F$128,"Ja")-G1334))</x:f>
      </x:c>
    </x:row>
    <x:row r="1335" ht="19" customHeight="1">
      <x:c r="A1335" s="90" t="n">
        <x:f>MONATSBUDGET!$A$73</x:f>
        <x:v>48214</x:v>
      </x:c>
      <x:c r="B1335" t="n">
        <x:f>16</x:f>
        <x:v>16</x:v>
      </x:c>
      <x:c r="C1335" t="str">
        <x:f>IF($N$24="","",$N$24)</x:f>
      </x:c>
      <x:c r="D1335" s="88" t="str">
        <x:f>IF(C1335="","",I1315)</x:f>
      </x:c>
      <x:c r="E1335" s="88" t="str">
        <x:f>IF(C1335="","",ROUND(D1335*$P$24/12,2))</x:f>
      </x:c>
      <x:c r="F1335" s="88" t="str">
        <x:f>IF(C1335="","",MIN(D1335+E1335,$Q$24))</x:f>
      </x:c>
      <x:c r="G1335" s="88" t="str">
        <x:f>IF(C1335="","",MIN(MAX(0,D1335+E1335-F1335),SUMIFS(SONDERZAHLUNGEN!$E$9:$E$128,SONDERZAHLUNGEN!$B$9:$B$128,C1335,SONDERZAHLUNGEN!$C$9:$C$128,A1335,SONDERZAHLUNGEN!$H$9:$H$128,"OK",SONDERZAHLUNGEN!$F$9:$F$128,"Ja")))</x:f>
      </x:c>
      <x:c r="H1335" s="88" t="str">
        <x:f>IF(C1335="","",MIN(MAX(0,D1335+E1335-F1335-G1335),MAX(0,IF(MONATSBUDGET!$C$73="",0,MONATSBUDGET!$C$73)-SUM(F1320:F1339)-SUM(H1320:H1334))))</x:f>
      </x:c>
      <x:c r="I1335" s="88" t="str">
        <x:f>IF(C1335="","",MAX(0,ROUND(D1335+E1335-F1335-G1335-H1335,2)))</x:f>
      </x:c>
      <x:c r="J1335" s="88" t="str">
        <x:f>IF(C1335="","",F1335+G1335+H1335)</x:f>
      </x:c>
      <x:c r="K1335" s="88" t="str">
        <x:f>IF(C1335="","",MAX(0,SUMIFS(SONDERZAHLUNGEN!$E$9:$E$128,SONDERZAHLUNGEN!$B$9:$B$128,C1335,SONDERZAHLUNGEN!$C$9:$C$128,A1335,SONDERZAHLUNGEN!$H$9:$H$128,"OK",SONDERZAHLUNGEN!$F$9:$F$128,"Ja")-G1335))</x:f>
      </x:c>
    </x:row>
    <x:row r="1336" ht="19" customHeight="1">
      <x:c r="A1336" s="90" t="n">
        <x:f>MONATSBUDGET!$A$73</x:f>
        <x:v>48214</x:v>
      </x:c>
      <x:c r="B1336" t="n">
        <x:f>17</x:f>
        <x:v>17</x:v>
      </x:c>
      <x:c r="C1336" t="str">
        <x:f>IF($N$25="","",$N$25)</x:f>
      </x:c>
      <x:c r="D1336" s="88" t="str">
        <x:f>IF(C1336="","",I1316)</x:f>
      </x:c>
      <x:c r="E1336" s="88" t="str">
        <x:f>IF(C1336="","",ROUND(D1336*$P$25/12,2))</x:f>
      </x:c>
      <x:c r="F1336" s="88" t="str">
        <x:f>IF(C1336="","",MIN(D1336+E1336,$Q$25))</x:f>
      </x:c>
      <x:c r="G1336" s="88" t="str">
        <x:f>IF(C1336="","",MIN(MAX(0,D1336+E1336-F1336),SUMIFS(SONDERZAHLUNGEN!$E$9:$E$128,SONDERZAHLUNGEN!$B$9:$B$128,C1336,SONDERZAHLUNGEN!$C$9:$C$128,A1336,SONDERZAHLUNGEN!$H$9:$H$128,"OK",SONDERZAHLUNGEN!$F$9:$F$128,"Ja")))</x:f>
      </x:c>
      <x:c r="H1336" s="88" t="str">
        <x:f>IF(C1336="","",MIN(MAX(0,D1336+E1336-F1336-G1336),MAX(0,IF(MONATSBUDGET!$C$73="",0,MONATSBUDGET!$C$73)-SUM(F1320:F1339)-SUM(H1320:H1335))))</x:f>
      </x:c>
      <x:c r="I1336" s="88" t="str">
        <x:f>IF(C1336="","",MAX(0,ROUND(D1336+E1336-F1336-G1336-H1336,2)))</x:f>
      </x:c>
      <x:c r="J1336" s="88" t="str">
        <x:f>IF(C1336="","",F1336+G1336+H1336)</x:f>
      </x:c>
      <x:c r="K1336" s="88" t="str">
        <x:f>IF(C1336="","",MAX(0,SUMIFS(SONDERZAHLUNGEN!$E$9:$E$128,SONDERZAHLUNGEN!$B$9:$B$128,C1336,SONDERZAHLUNGEN!$C$9:$C$128,A1336,SONDERZAHLUNGEN!$H$9:$H$128,"OK",SONDERZAHLUNGEN!$F$9:$F$128,"Ja")-G1336))</x:f>
      </x:c>
    </x:row>
    <x:row r="1337" ht="19" customHeight="1">
      <x:c r="A1337" s="90" t="n">
        <x:f>MONATSBUDGET!$A$73</x:f>
        <x:v>48214</x:v>
      </x:c>
      <x:c r="B1337" t="n">
        <x:f>18</x:f>
        <x:v>18</x:v>
      </x:c>
      <x:c r="C1337" t="str">
        <x:f>IF($N$26="","",$N$26)</x:f>
      </x:c>
      <x:c r="D1337" s="88" t="str">
        <x:f>IF(C1337="","",I1317)</x:f>
      </x:c>
      <x:c r="E1337" s="88" t="str">
        <x:f>IF(C1337="","",ROUND(D1337*$P$26/12,2))</x:f>
      </x:c>
      <x:c r="F1337" s="88" t="str">
        <x:f>IF(C1337="","",MIN(D1337+E1337,$Q$26))</x:f>
      </x:c>
      <x:c r="G1337" s="88" t="str">
        <x:f>IF(C1337="","",MIN(MAX(0,D1337+E1337-F1337),SUMIFS(SONDERZAHLUNGEN!$E$9:$E$128,SONDERZAHLUNGEN!$B$9:$B$128,C1337,SONDERZAHLUNGEN!$C$9:$C$128,A1337,SONDERZAHLUNGEN!$H$9:$H$128,"OK",SONDERZAHLUNGEN!$F$9:$F$128,"Ja")))</x:f>
      </x:c>
      <x:c r="H1337" s="88" t="str">
        <x:f>IF(C1337="","",MIN(MAX(0,D1337+E1337-F1337-G1337),MAX(0,IF(MONATSBUDGET!$C$73="",0,MONATSBUDGET!$C$73)-SUM(F1320:F1339)-SUM(H1320:H1336))))</x:f>
      </x:c>
      <x:c r="I1337" s="88" t="str">
        <x:f>IF(C1337="","",MAX(0,ROUND(D1337+E1337-F1337-G1337-H1337,2)))</x:f>
      </x:c>
      <x:c r="J1337" s="88" t="str">
        <x:f>IF(C1337="","",F1337+G1337+H1337)</x:f>
      </x:c>
      <x:c r="K1337" s="88" t="str">
        <x:f>IF(C1337="","",MAX(0,SUMIFS(SONDERZAHLUNGEN!$E$9:$E$128,SONDERZAHLUNGEN!$B$9:$B$128,C1337,SONDERZAHLUNGEN!$C$9:$C$128,A1337,SONDERZAHLUNGEN!$H$9:$H$128,"OK",SONDERZAHLUNGEN!$F$9:$F$128,"Ja")-G1337))</x:f>
      </x:c>
    </x:row>
    <x:row r="1338" ht="19" customHeight="1">
      <x:c r="A1338" s="90" t="n">
        <x:f>MONATSBUDGET!$A$73</x:f>
        <x:v>48214</x:v>
      </x:c>
      <x:c r="B1338" t="n">
        <x:f>19</x:f>
        <x:v>19</x:v>
      </x:c>
      <x:c r="C1338" t="str">
        <x:f>IF($N$27="","",$N$27)</x:f>
      </x:c>
      <x:c r="D1338" s="88" t="str">
        <x:f>IF(C1338="","",I1318)</x:f>
      </x:c>
      <x:c r="E1338" s="88" t="str">
        <x:f>IF(C1338="","",ROUND(D1338*$P$27/12,2))</x:f>
      </x:c>
      <x:c r="F1338" s="88" t="str">
        <x:f>IF(C1338="","",MIN(D1338+E1338,$Q$27))</x:f>
      </x:c>
      <x:c r="G1338" s="88" t="str">
        <x:f>IF(C1338="","",MIN(MAX(0,D1338+E1338-F1338),SUMIFS(SONDERZAHLUNGEN!$E$9:$E$128,SONDERZAHLUNGEN!$B$9:$B$128,C1338,SONDERZAHLUNGEN!$C$9:$C$128,A1338,SONDERZAHLUNGEN!$H$9:$H$128,"OK",SONDERZAHLUNGEN!$F$9:$F$128,"Ja")))</x:f>
      </x:c>
      <x:c r="H1338" s="88" t="str">
        <x:f>IF(C1338="","",MIN(MAX(0,D1338+E1338-F1338-G1338),MAX(0,IF(MONATSBUDGET!$C$73="",0,MONATSBUDGET!$C$73)-SUM(F1320:F1339)-SUM(H1320:H1337))))</x:f>
      </x:c>
      <x:c r="I1338" s="88" t="str">
        <x:f>IF(C1338="","",MAX(0,ROUND(D1338+E1338-F1338-G1338-H1338,2)))</x:f>
      </x:c>
      <x:c r="J1338" s="88" t="str">
        <x:f>IF(C1338="","",F1338+G1338+H1338)</x:f>
      </x:c>
      <x:c r="K1338" s="88" t="str">
        <x:f>IF(C1338="","",MAX(0,SUMIFS(SONDERZAHLUNGEN!$E$9:$E$128,SONDERZAHLUNGEN!$B$9:$B$128,C1338,SONDERZAHLUNGEN!$C$9:$C$128,A1338,SONDERZAHLUNGEN!$H$9:$H$128,"OK",SONDERZAHLUNGEN!$F$9:$F$128,"Ja")-G1338))</x:f>
      </x:c>
    </x:row>
    <x:row r="1339" ht="19" customHeight="1">
      <x:c r="A1339" s="90" t="n">
        <x:f>MONATSBUDGET!$A$73</x:f>
        <x:v>48214</x:v>
      </x:c>
      <x:c r="B1339" t="n">
        <x:f>20</x:f>
        <x:v>20</x:v>
      </x:c>
      <x:c r="C1339" t="str">
        <x:f>IF($N$28="","",$N$28)</x:f>
      </x:c>
      <x:c r="D1339" s="88" t="str">
        <x:f>IF(C1339="","",I1319)</x:f>
      </x:c>
      <x:c r="E1339" s="88" t="str">
        <x:f>IF(C1339="","",ROUND(D1339*$P$28/12,2))</x:f>
      </x:c>
      <x:c r="F1339" s="88" t="str">
        <x:f>IF(C1339="","",MIN(D1339+E1339,$Q$28))</x:f>
      </x:c>
      <x:c r="G1339" s="88" t="str">
        <x:f>IF(C1339="","",MIN(MAX(0,D1339+E1339-F1339),SUMIFS(SONDERZAHLUNGEN!$E$9:$E$128,SONDERZAHLUNGEN!$B$9:$B$128,C1339,SONDERZAHLUNGEN!$C$9:$C$128,A1339,SONDERZAHLUNGEN!$H$9:$H$128,"OK",SONDERZAHLUNGEN!$F$9:$F$128,"Ja")))</x:f>
      </x:c>
      <x:c r="H1339" s="88" t="str">
        <x:f>IF(C1339="","",MIN(MAX(0,D1339+E1339-F1339-G1339),MAX(0,IF(MONATSBUDGET!$C$73="",0,MONATSBUDGET!$C$73)-SUM(F1320:F1339)-SUM(H1320:H1338))))</x:f>
      </x:c>
      <x:c r="I1339" s="88" t="str">
        <x:f>IF(C1339="","",MAX(0,ROUND(D1339+E1339-F1339-G1339-H1339,2)))</x:f>
      </x:c>
      <x:c r="J1339" s="88" t="str">
        <x:f>IF(C1339="","",F1339+G1339+H1339)</x:f>
      </x:c>
      <x:c r="K1339" s="88" t="str">
        <x:f>IF(C1339="","",MAX(0,SUMIFS(SONDERZAHLUNGEN!$E$9:$E$128,SONDERZAHLUNGEN!$B$9:$B$128,C1339,SONDERZAHLUNGEN!$C$9:$C$128,A1339,SONDERZAHLUNGEN!$H$9:$H$128,"OK",SONDERZAHLUNGEN!$F$9:$F$128,"Ja")-G1339))</x:f>
      </x:c>
    </x:row>
    <x:row r="1340" ht="19" customHeight="1">
      <x:c r="A1340" s="90" t="n">
        <x:f>MONATSBUDGET!$A$74</x:f>
        <x:v>48245</x:v>
      </x:c>
      <x:c r="B1340" t="n">
        <x:f>1</x:f>
        <x:v>1</x:v>
      </x:c>
      <x:c r="C1340" t="str">
        <x:f>IF($N$9="","",$N$9)</x:f>
      </x:c>
      <x:c r="D1340" s="88" t="str">
        <x:f>IF(C1340="","",I1320)</x:f>
      </x:c>
      <x:c r="E1340" s="88" t="str">
        <x:f>IF(C1340="","",ROUND(D1340*$P$9/12,2))</x:f>
      </x:c>
      <x:c r="F1340" s="88" t="str">
        <x:f>IF(C1340="","",MIN(D1340+E1340,$Q$9))</x:f>
      </x:c>
      <x:c r="G1340" s="88" t="str">
        <x:f>IF(C1340="","",MIN(MAX(0,D1340+E1340-F1340),SUMIFS(SONDERZAHLUNGEN!$E$9:$E$128,SONDERZAHLUNGEN!$B$9:$B$128,C1340,SONDERZAHLUNGEN!$C$9:$C$128,A1340,SONDERZAHLUNGEN!$H$9:$H$128,"OK",SONDERZAHLUNGEN!$F$9:$F$128,"Ja")))</x:f>
      </x:c>
      <x:c r="H1340" s="88" t="str">
        <x:f>IF(C1340="","",MIN(MAX(0,D1340+E1340-F1340-G1340),MAX(0,IF(MONATSBUDGET!$C$74="",0,MONATSBUDGET!$C$74)-SUM(F1340:F1359)-0)))</x:f>
      </x:c>
      <x:c r="I1340" s="88" t="str">
        <x:f>IF(C1340="","",MAX(0,ROUND(D1340+E1340-F1340-G1340-H1340,2)))</x:f>
      </x:c>
      <x:c r="J1340" s="88" t="str">
        <x:f>IF(C1340="","",F1340+G1340+H1340)</x:f>
      </x:c>
      <x:c r="K1340" s="88" t="str">
        <x:f>IF(C1340="","",MAX(0,SUMIFS(SONDERZAHLUNGEN!$E$9:$E$128,SONDERZAHLUNGEN!$B$9:$B$128,C1340,SONDERZAHLUNGEN!$C$9:$C$128,A1340,SONDERZAHLUNGEN!$H$9:$H$128,"OK",SONDERZAHLUNGEN!$F$9:$F$128,"Ja")-G1340))</x:f>
      </x:c>
    </x:row>
    <x:row r="1341" ht="19" customHeight="1">
      <x:c r="A1341" s="90" t="n">
        <x:f>MONATSBUDGET!$A$74</x:f>
        <x:v>48245</x:v>
      </x:c>
      <x:c r="B1341" t="n">
        <x:f>2</x:f>
        <x:v>2</x:v>
      </x:c>
      <x:c r="C1341" t="str">
        <x:f>IF($N$10="","",$N$10)</x:f>
      </x:c>
      <x:c r="D1341" s="88" t="str">
        <x:f>IF(C1341="","",I1321)</x:f>
      </x:c>
      <x:c r="E1341" s="88" t="str">
        <x:f>IF(C1341="","",ROUND(D1341*$P$10/12,2))</x:f>
      </x:c>
      <x:c r="F1341" s="88" t="str">
        <x:f>IF(C1341="","",MIN(D1341+E1341,$Q$10))</x:f>
      </x:c>
      <x:c r="G1341" s="88" t="str">
        <x:f>IF(C1341="","",MIN(MAX(0,D1341+E1341-F1341),SUMIFS(SONDERZAHLUNGEN!$E$9:$E$128,SONDERZAHLUNGEN!$B$9:$B$128,C1341,SONDERZAHLUNGEN!$C$9:$C$128,A1341,SONDERZAHLUNGEN!$H$9:$H$128,"OK",SONDERZAHLUNGEN!$F$9:$F$128,"Ja")))</x:f>
      </x:c>
      <x:c r="H1341" s="88" t="str">
        <x:f>IF(C1341="","",MIN(MAX(0,D1341+E1341-F1341-G1341),MAX(0,IF(MONATSBUDGET!$C$74="",0,MONATSBUDGET!$C$74)-SUM(F1340:F1359)-SUM(H1340:H1340))))</x:f>
      </x:c>
      <x:c r="I1341" s="88" t="str">
        <x:f>IF(C1341="","",MAX(0,ROUND(D1341+E1341-F1341-G1341-H1341,2)))</x:f>
      </x:c>
      <x:c r="J1341" s="88" t="str">
        <x:f>IF(C1341="","",F1341+G1341+H1341)</x:f>
      </x:c>
      <x:c r="K1341" s="88" t="str">
        <x:f>IF(C1341="","",MAX(0,SUMIFS(SONDERZAHLUNGEN!$E$9:$E$128,SONDERZAHLUNGEN!$B$9:$B$128,C1341,SONDERZAHLUNGEN!$C$9:$C$128,A1341,SONDERZAHLUNGEN!$H$9:$H$128,"OK",SONDERZAHLUNGEN!$F$9:$F$128,"Ja")-G1341))</x:f>
      </x:c>
    </x:row>
    <x:row r="1342" ht="19" customHeight="1">
      <x:c r="A1342" s="90" t="n">
        <x:f>MONATSBUDGET!$A$74</x:f>
        <x:v>48245</x:v>
      </x:c>
      <x:c r="B1342" t="n">
        <x:f>3</x:f>
        <x:v>3</x:v>
      </x:c>
      <x:c r="C1342" t="str">
        <x:f>IF($N$11="","",$N$11)</x:f>
      </x:c>
      <x:c r="D1342" s="88" t="str">
        <x:f>IF(C1342="","",I1322)</x:f>
      </x:c>
      <x:c r="E1342" s="88" t="str">
        <x:f>IF(C1342="","",ROUND(D1342*$P$11/12,2))</x:f>
      </x:c>
      <x:c r="F1342" s="88" t="str">
        <x:f>IF(C1342="","",MIN(D1342+E1342,$Q$11))</x:f>
      </x:c>
      <x:c r="G1342" s="88" t="str">
        <x:f>IF(C1342="","",MIN(MAX(0,D1342+E1342-F1342),SUMIFS(SONDERZAHLUNGEN!$E$9:$E$128,SONDERZAHLUNGEN!$B$9:$B$128,C1342,SONDERZAHLUNGEN!$C$9:$C$128,A1342,SONDERZAHLUNGEN!$H$9:$H$128,"OK",SONDERZAHLUNGEN!$F$9:$F$128,"Ja")))</x:f>
      </x:c>
      <x:c r="H1342" s="88" t="str">
        <x:f>IF(C1342="","",MIN(MAX(0,D1342+E1342-F1342-G1342),MAX(0,IF(MONATSBUDGET!$C$74="",0,MONATSBUDGET!$C$74)-SUM(F1340:F1359)-SUM(H1340:H1341))))</x:f>
      </x:c>
      <x:c r="I1342" s="88" t="str">
        <x:f>IF(C1342="","",MAX(0,ROUND(D1342+E1342-F1342-G1342-H1342,2)))</x:f>
      </x:c>
      <x:c r="J1342" s="88" t="str">
        <x:f>IF(C1342="","",F1342+G1342+H1342)</x:f>
      </x:c>
      <x:c r="K1342" s="88" t="str">
        <x:f>IF(C1342="","",MAX(0,SUMIFS(SONDERZAHLUNGEN!$E$9:$E$128,SONDERZAHLUNGEN!$B$9:$B$128,C1342,SONDERZAHLUNGEN!$C$9:$C$128,A1342,SONDERZAHLUNGEN!$H$9:$H$128,"OK",SONDERZAHLUNGEN!$F$9:$F$128,"Ja")-G1342))</x:f>
      </x:c>
    </x:row>
    <x:row r="1343" ht="19" customHeight="1">
      <x:c r="A1343" s="90" t="n">
        <x:f>MONATSBUDGET!$A$74</x:f>
        <x:v>48245</x:v>
      </x:c>
      <x:c r="B1343" t="n">
        <x:f>4</x:f>
        <x:v>4</x:v>
      </x:c>
      <x:c r="C1343" t="str">
        <x:f>IF($N$12="","",$N$12)</x:f>
      </x:c>
      <x:c r="D1343" s="88" t="str">
        <x:f>IF(C1343="","",I1323)</x:f>
      </x:c>
      <x:c r="E1343" s="88" t="str">
        <x:f>IF(C1343="","",ROUND(D1343*$P$12/12,2))</x:f>
      </x:c>
      <x:c r="F1343" s="88" t="str">
        <x:f>IF(C1343="","",MIN(D1343+E1343,$Q$12))</x:f>
      </x:c>
      <x:c r="G1343" s="88" t="str">
        <x:f>IF(C1343="","",MIN(MAX(0,D1343+E1343-F1343),SUMIFS(SONDERZAHLUNGEN!$E$9:$E$128,SONDERZAHLUNGEN!$B$9:$B$128,C1343,SONDERZAHLUNGEN!$C$9:$C$128,A1343,SONDERZAHLUNGEN!$H$9:$H$128,"OK",SONDERZAHLUNGEN!$F$9:$F$128,"Ja")))</x:f>
      </x:c>
      <x:c r="H1343" s="88" t="str">
        <x:f>IF(C1343="","",MIN(MAX(0,D1343+E1343-F1343-G1343),MAX(0,IF(MONATSBUDGET!$C$74="",0,MONATSBUDGET!$C$74)-SUM(F1340:F1359)-SUM(H1340:H1342))))</x:f>
      </x:c>
      <x:c r="I1343" s="88" t="str">
        <x:f>IF(C1343="","",MAX(0,ROUND(D1343+E1343-F1343-G1343-H1343,2)))</x:f>
      </x:c>
      <x:c r="J1343" s="88" t="str">
        <x:f>IF(C1343="","",F1343+G1343+H1343)</x:f>
      </x:c>
      <x:c r="K1343" s="88" t="str">
        <x:f>IF(C1343="","",MAX(0,SUMIFS(SONDERZAHLUNGEN!$E$9:$E$128,SONDERZAHLUNGEN!$B$9:$B$128,C1343,SONDERZAHLUNGEN!$C$9:$C$128,A1343,SONDERZAHLUNGEN!$H$9:$H$128,"OK",SONDERZAHLUNGEN!$F$9:$F$128,"Ja")-G1343))</x:f>
      </x:c>
    </x:row>
    <x:row r="1344" ht="19" customHeight="1">
      <x:c r="A1344" s="90" t="n">
        <x:f>MONATSBUDGET!$A$74</x:f>
        <x:v>48245</x:v>
      </x:c>
      <x:c r="B1344" t="n">
        <x:f>5</x:f>
        <x:v>5</x:v>
      </x:c>
      <x:c r="C1344" t="str">
        <x:f>IF($N$13="","",$N$13)</x:f>
      </x:c>
      <x:c r="D1344" s="88" t="str">
        <x:f>IF(C1344="","",I1324)</x:f>
      </x:c>
      <x:c r="E1344" s="88" t="str">
        <x:f>IF(C1344="","",ROUND(D1344*$P$13/12,2))</x:f>
      </x:c>
      <x:c r="F1344" s="88" t="str">
        <x:f>IF(C1344="","",MIN(D1344+E1344,$Q$13))</x:f>
      </x:c>
      <x:c r="G1344" s="88" t="str">
        <x:f>IF(C1344="","",MIN(MAX(0,D1344+E1344-F1344),SUMIFS(SONDERZAHLUNGEN!$E$9:$E$128,SONDERZAHLUNGEN!$B$9:$B$128,C1344,SONDERZAHLUNGEN!$C$9:$C$128,A1344,SONDERZAHLUNGEN!$H$9:$H$128,"OK",SONDERZAHLUNGEN!$F$9:$F$128,"Ja")))</x:f>
      </x:c>
      <x:c r="H1344" s="88" t="str">
        <x:f>IF(C1344="","",MIN(MAX(0,D1344+E1344-F1344-G1344),MAX(0,IF(MONATSBUDGET!$C$74="",0,MONATSBUDGET!$C$74)-SUM(F1340:F1359)-SUM(H1340:H1343))))</x:f>
      </x:c>
      <x:c r="I1344" s="88" t="str">
        <x:f>IF(C1344="","",MAX(0,ROUND(D1344+E1344-F1344-G1344-H1344,2)))</x:f>
      </x:c>
      <x:c r="J1344" s="88" t="str">
        <x:f>IF(C1344="","",F1344+G1344+H1344)</x:f>
      </x:c>
      <x:c r="K1344" s="88" t="str">
        <x:f>IF(C1344="","",MAX(0,SUMIFS(SONDERZAHLUNGEN!$E$9:$E$128,SONDERZAHLUNGEN!$B$9:$B$128,C1344,SONDERZAHLUNGEN!$C$9:$C$128,A1344,SONDERZAHLUNGEN!$H$9:$H$128,"OK",SONDERZAHLUNGEN!$F$9:$F$128,"Ja")-G1344))</x:f>
      </x:c>
    </x:row>
    <x:row r="1345" ht="19" customHeight="1">
      <x:c r="A1345" s="90" t="n">
        <x:f>MONATSBUDGET!$A$74</x:f>
        <x:v>48245</x:v>
      </x:c>
      <x:c r="B1345" t="n">
        <x:f>6</x:f>
        <x:v>6</x:v>
      </x:c>
      <x:c r="C1345" t="str">
        <x:f>IF($N$14="","",$N$14)</x:f>
      </x:c>
      <x:c r="D1345" s="88" t="str">
        <x:f>IF(C1345="","",I1325)</x:f>
      </x:c>
      <x:c r="E1345" s="88" t="str">
        <x:f>IF(C1345="","",ROUND(D1345*$P$14/12,2))</x:f>
      </x:c>
      <x:c r="F1345" s="88" t="str">
        <x:f>IF(C1345="","",MIN(D1345+E1345,$Q$14))</x:f>
      </x:c>
      <x:c r="G1345" s="88" t="str">
        <x:f>IF(C1345="","",MIN(MAX(0,D1345+E1345-F1345),SUMIFS(SONDERZAHLUNGEN!$E$9:$E$128,SONDERZAHLUNGEN!$B$9:$B$128,C1345,SONDERZAHLUNGEN!$C$9:$C$128,A1345,SONDERZAHLUNGEN!$H$9:$H$128,"OK",SONDERZAHLUNGEN!$F$9:$F$128,"Ja")))</x:f>
      </x:c>
      <x:c r="H1345" s="88" t="str">
        <x:f>IF(C1345="","",MIN(MAX(0,D1345+E1345-F1345-G1345),MAX(0,IF(MONATSBUDGET!$C$74="",0,MONATSBUDGET!$C$74)-SUM(F1340:F1359)-SUM(H1340:H1344))))</x:f>
      </x:c>
      <x:c r="I1345" s="88" t="str">
        <x:f>IF(C1345="","",MAX(0,ROUND(D1345+E1345-F1345-G1345-H1345,2)))</x:f>
      </x:c>
      <x:c r="J1345" s="88" t="str">
        <x:f>IF(C1345="","",F1345+G1345+H1345)</x:f>
      </x:c>
      <x:c r="K1345" s="88" t="str">
        <x:f>IF(C1345="","",MAX(0,SUMIFS(SONDERZAHLUNGEN!$E$9:$E$128,SONDERZAHLUNGEN!$B$9:$B$128,C1345,SONDERZAHLUNGEN!$C$9:$C$128,A1345,SONDERZAHLUNGEN!$H$9:$H$128,"OK",SONDERZAHLUNGEN!$F$9:$F$128,"Ja")-G1345))</x:f>
      </x:c>
    </x:row>
    <x:row r="1346" ht="19" customHeight="1">
      <x:c r="A1346" s="90" t="n">
        <x:f>MONATSBUDGET!$A$74</x:f>
        <x:v>48245</x:v>
      </x:c>
      <x:c r="B1346" t="n">
        <x:f>7</x:f>
        <x:v>7</x:v>
      </x:c>
      <x:c r="C1346" t="str">
        <x:f>IF($N$15="","",$N$15)</x:f>
      </x:c>
      <x:c r="D1346" s="88" t="str">
        <x:f>IF(C1346="","",I1326)</x:f>
      </x:c>
      <x:c r="E1346" s="88" t="str">
        <x:f>IF(C1346="","",ROUND(D1346*$P$15/12,2))</x:f>
      </x:c>
      <x:c r="F1346" s="88" t="str">
        <x:f>IF(C1346="","",MIN(D1346+E1346,$Q$15))</x:f>
      </x:c>
      <x:c r="G1346" s="88" t="str">
        <x:f>IF(C1346="","",MIN(MAX(0,D1346+E1346-F1346),SUMIFS(SONDERZAHLUNGEN!$E$9:$E$128,SONDERZAHLUNGEN!$B$9:$B$128,C1346,SONDERZAHLUNGEN!$C$9:$C$128,A1346,SONDERZAHLUNGEN!$H$9:$H$128,"OK",SONDERZAHLUNGEN!$F$9:$F$128,"Ja")))</x:f>
      </x:c>
      <x:c r="H1346" s="88" t="str">
        <x:f>IF(C1346="","",MIN(MAX(0,D1346+E1346-F1346-G1346),MAX(0,IF(MONATSBUDGET!$C$74="",0,MONATSBUDGET!$C$74)-SUM(F1340:F1359)-SUM(H1340:H1345))))</x:f>
      </x:c>
      <x:c r="I1346" s="88" t="str">
        <x:f>IF(C1346="","",MAX(0,ROUND(D1346+E1346-F1346-G1346-H1346,2)))</x:f>
      </x:c>
      <x:c r="J1346" s="88" t="str">
        <x:f>IF(C1346="","",F1346+G1346+H1346)</x:f>
      </x:c>
      <x:c r="K1346" s="88" t="str">
        <x:f>IF(C1346="","",MAX(0,SUMIFS(SONDERZAHLUNGEN!$E$9:$E$128,SONDERZAHLUNGEN!$B$9:$B$128,C1346,SONDERZAHLUNGEN!$C$9:$C$128,A1346,SONDERZAHLUNGEN!$H$9:$H$128,"OK",SONDERZAHLUNGEN!$F$9:$F$128,"Ja")-G1346))</x:f>
      </x:c>
    </x:row>
    <x:row r="1347" ht="19" customHeight="1">
      <x:c r="A1347" s="90" t="n">
        <x:f>MONATSBUDGET!$A$74</x:f>
        <x:v>48245</x:v>
      </x:c>
      <x:c r="B1347" t="n">
        <x:f>8</x:f>
        <x:v>8</x:v>
      </x:c>
      <x:c r="C1347" t="str">
        <x:f>IF($N$16="","",$N$16)</x:f>
      </x:c>
      <x:c r="D1347" s="88" t="str">
        <x:f>IF(C1347="","",I1327)</x:f>
      </x:c>
      <x:c r="E1347" s="88" t="str">
        <x:f>IF(C1347="","",ROUND(D1347*$P$16/12,2))</x:f>
      </x:c>
      <x:c r="F1347" s="88" t="str">
        <x:f>IF(C1347="","",MIN(D1347+E1347,$Q$16))</x:f>
      </x:c>
      <x:c r="G1347" s="88" t="str">
        <x:f>IF(C1347="","",MIN(MAX(0,D1347+E1347-F1347),SUMIFS(SONDERZAHLUNGEN!$E$9:$E$128,SONDERZAHLUNGEN!$B$9:$B$128,C1347,SONDERZAHLUNGEN!$C$9:$C$128,A1347,SONDERZAHLUNGEN!$H$9:$H$128,"OK",SONDERZAHLUNGEN!$F$9:$F$128,"Ja")))</x:f>
      </x:c>
      <x:c r="H1347" s="88" t="str">
        <x:f>IF(C1347="","",MIN(MAX(0,D1347+E1347-F1347-G1347),MAX(0,IF(MONATSBUDGET!$C$74="",0,MONATSBUDGET!$C$74)-SUM(F1340:F1359)-SUM(H1340:H1346))))</x:f>
      </x:c>
      <x:c r="I1347" s="88" t="str">
        <x:f>IF(C1347="","",MAX(0,ROUND(D1347+E1347-F1347-G1347-H1347,2)))</x:f>
      </x:c>
      <x:c r="J1347" s="88" t="str">
        <x:f>IF(C1347="","",F1347+G1347+H1347)</x:f>
      </x:c>
      <x:c r="K1347" s="88" t="str">
        <x:f>IF(C1347="","",MAX(0,SUMIFS(SONDERZAHLUNGEN!$E$9:$E$128,SONDERZAHLUNGEN!$B$9:$B$128,C1347,SONDERZAHLUNGEN!$C$9:$C$128,A1347,SONDERZAHLUNGEN!$H$9:$H$128,"OK",SONDERZAHLUNGEN!$F$9:$F$128,"Ja")-G1347))</x:f>
      </x:c>
    </x:row>
    <x:row r="1348" ht="19" customHeight="1">
      <x:c r="A1348" s="90" t="n">
        <x:f>MONATSBUDGET!$A$74</x:f>
        <x:v>48245</x:v>
      </x:c>
      <x:c r="B1348" t="n">
        <x:f>9</x:f>
        <x:v>9</x:v>
      </x:c>
      <x:c r="C1348" t="str">
        <x:f>IF($N$17="","",$N$17)</x:f>
      </x:c>
      <x:c r="D1348" s="88" t="str">
        <x:f>IF(C1348="","",I1328)</x:f>
      </x:c>
      <x:c r="E1348" s="88" t="str">
        <x:f>IF(C1348="","",ROUND(D1348*$P$17/12,2))</x:f>
      </x:c>
      <x:c r="F1348" s="88" t="str">
        <x:f>IF(C1348="","",MIN(D1348+E1348,$Q$17))</x:f>
      </x:c>
      <x:c r="G1348" s="88" t="str">
        <x:f>IF(C1348="","",MIN(MAX(0,D1348+E1348-F1348),SUMIFS(SONDERZAHLUNGEN!$E$9:$E$128,SONDERZAHLUNGEN!$B$9:$B$128,C1348,SONDERZAHLUNGEN!$C$9:$C$128,A1348,SONDERZAHLUNGEN!$H$9:$H$128,"OK",SONDERZAHLUNGEN!$F$9:$F$128,"Ja")))</x:f>
      </x:c>
      <x:c r="H1348" s="88" t="str">
        <x:f>IF(C1348="","",MIN(MAX(0,D1348+E1348-F1348-G1348),MAX(0,IF(MONATSBUDGET!$C$74="",0,MONATSBUDGET!$C$74)-SUM(F1340:F1359)-SUM(H1340:H1347))))</x:f>
      </x:c>
      <x:c r="I1348" s="88" t="str">
        <x:f>IF(C1348="","",MAX(0,ROUND(D1348+E1348-F1348-G1348-H1348,2)))</x:f>
      </x:c>
      <x:c r="J1348" s="88" t="str">
        <x:f>IF(C1348="","",F1348+G1348+H1348)</x:f>
      </x:c>
      <x:c r="K1348" s="88" t="str">
        <x:f>IF(C1348="","",MAX(0,SUMIFS(SONDERZAHLUNGEN!$E$9:$E$128,SONDERZAHLUNGEN!$B$9:$B$128,C1348,SONDERZAHLUNGEN!$C$9:$C$128,A1348,SONDERZAHLUNGEN!$H$9:$H$128,"OK",SONDERZAHLUNGEN!$F$9:$F$128,"Ja")-G1348))</x:f>
      </x:c>
    </x:row>
    <x:row r="1349" ht="19" customHeight="1">
      <x:c r="A1349" s="90" t="n">
        <x:f>MONATSBUDGET!$A$74</x:f>
        <x:v>48245</x:v>
      </x:c>
      <x:c r="B1349" t="n">
        <x:f>10</x:f>
        <x:v>10</x:v>
      </x:c>
      <x:c r="C1349" t="str">
        <x:f>IF($N$18="","",$N$18)</x:f>
      </x:c>
      <x:c r="D1349" s="88" t="str">
        <x:f>IF(C1349="","",I1329)</x:f>
      </x:c>
      <x:c r="E1349" s="88" t="str">
        <x:f>IF(C1349="","",ROUND(D1349*$P$18/12,2))</x:f>
      </x:c>
      <x:c r="F1349" s="88" t="str">
        <x:f>IF(C1349="","",MIN(D1349+E1349,$Q$18))</x:f>
      </x:c>
      <x:c r="G1349" s="88" t="str">
        <x:f>IF(C1349="","",MIN(MAX(0,D1349+E1349-F1349),SUMIFS(SONDERZAHLUNGEN!$E$9:$E$128,SONDERZAHLUNGEN!$B$9:$B$128,C1349,SONDERZAHLUNGEN!$C$9:$C$128,A1349,SONDERZAHLUNGEN!$H$9:$H$128,"OK",SONDERZAHLUNGEN!$F$9:$F$128,"Ja")))</x:f>
      </x:c>
      <x:c r="H1349" s="88" t="str">
        <x:f>IF(C1349="","",MIN(MAX(0,D1349+E1349-F1349-G1349),MAX(0,IF(MONATSBUDGET!$C$74="",0,MONATSBUDGET!$C$74)-SUM(F1340:F1359)-SUM(H1340:H1348))))</x:f>
      </x:c>
      <x:c r="I1349" s="88" t="str">
        <x:f>IF(C1349="","",MAX(0,ROUND(D1349+E1349-F1349-G1349-H1349,2)))</x:f>
      </x:c>
      <x:c r="J1349" s="88" t="str">
        <x:f>IF(C1349="","",F1349+G1349+H1349)</x:f>
      </x:c>
      <x:c r="K1349" s="88" t="str">
        <x:f>IF(C1349="","",MAX(0,SUMIFS(SONDERZAHLUNGEN!$E$9:$E$128,SONDERZAHLUNGEN!$B$9:$B$128,C1349,SONDERZAHLUNGEN!$C$9:$C$128,A1349,SONDERZAHLUNGEN!$H$9:$H$128,"OK",SONDERZAHLUNGEN!$F$9:$F$128,"Ja")-G1349))</x:f>
      </x:c>
    </x:row>
    <x:row r="1350" ht="19" customHeight="1">
      <x:c r="A1350" s="90" t="n">
        <x:f>MONATSBUDGET!$A$74</x:f>
        <x:v>48245</x:v>
      </x:c>
      <x:c r="B1350" t="n">
        <x:f>11</x:f>
        <x:v>11</x:v>
      </x:c>
      <x:c r="C1350" t="str">
        <x:f>IF($N$19="","",$N$19)</x:f>
      </x:c>
      <x:c r="D1350" s="88" t="str">
        <x:f>IF(C1350="","",I1330)</x:f>
      </x:c>
      <x:c r="E1350" s="88" t="str">
        <x:f>IF(C1350="","",ROUND(D1350*$P$19/12,2))</x:f>
      </x:c>
      <x:c r="F1350" s="88" t="str">
        <x:f>IF(C1350="","",MIN(D1350+E1350,$Q$19))</x:f>
      </x:c>
      <x:c r="G1350" s="88" t="str">
        <x:f>IF(C1350="","",MIN(MAX(0,D1350+E1350-F1350),SUMIFS(SONDERZAHLUNGEN!$E$9:$E$128,SONDERZAHLUNGEN!$B$9:$B$128,C1350,SONDERZAHLUNGEN!$C$9:$C$128,A1350,SONDERZAHLUNGEN!$H$9:$H$128,"OK",SONDERZAHLUNGEN!$F$9:$F$128,"Ja")))</x:f>
      </x:c>
      <x:c r="H1350" s="88" t="str">
        <x:f>IF(C1350="","",MIN(MAX(0,D1350+E1350-F1350-G1350),MAX(0,IF(MONATSBUDGET!$C$74="",0,MONATSBUDGET!$C$74)-SUM(F1340:F1359)-SUM(H1340:H1349))))</x:f>
      </x:c>
      <x:c r="I1350" s="88" t="str">
        <x:f>IF(C1350="","",MAX(0,ROUND(D1350+E1350-F1350-G1350-H1350,2)))</x:f>
      </x:c>
      <x:c r="J1350" s="88" t="str">
        <x:f>IF(C1350="","",F1350+G1350+H1350)</x:f>
      </x:c>
      <x:c r="K1350" s="88" t="str">
        <x:f>IF(C1350="","",MAX(0,SUMIFS(SONDERZAHLUNGEN!$E$9:$E$128,SONDERZAHLUNGEN!$B$9:$B$128,C1350,SONDERZAHLUNGEN!$C$9:$C$128,A1350,SONDERZAHLUNGEN!$H$9:$H$128,"OK",SONDERZAHLUNGEN!$F$9:$F$128,"Ja")-G1350))</x:f>
      </x:c>
    </x:row>
    <x:row r="1351" ht="19" customHeight="1">
      <x:c r="A1351" s="90" t="n">
        <x:f>MONATSBUDGET!$A$74</x:f>
        <x:v>48245</x:v>
      </x:c>
      <x:c r="B1351" t="n">
        <x:f>12</x:f>
        <x:v>12</x:v>
      </x:c>
      <x:c r="C1351" t="str">
        <x:f>IF($N$20="","",$N$20)</x:f>
      </x:c>
      <x:c r="D1351" s="88" t="str">
        <x:f>IF(C1351="","",I1331)</x:f>
      </x:c>
      <x:c r="E1351" s="88" t="str">
        <x:f>IF(C1351="","",ROUND(D1351*$P$20/12,2))</x:f>
      </x:c>
      <x:c r="F1351" s="88" t="str">
        <x:f>IF(C1351="","",MIN(D1351+E1351,$Q$20))</x:f>
      </x:c>
      <x:c r="G1351" s="88" t="str">
        <x:f>IF(C1351="","",MIN(MAX(0,D1351+E1351-F1351),SUMIFS(SONDERZAHLUNGEN!$E$9:$E$128,SONDERZAHLUNGEN!$B$9:$B$128,C1351,SONDERZAHLUNGEN!$C$9:$C$128,A1351,SONDERZAHLUNGEN!$H$9:$H$128,"OK",SONDERZAHLUNGEN!$F$9:$F$128,"Ja")))</x:f>
      </x:c>
      <x:c r="H1351" s="88" t="str">
        <x:f>IF(C1351="","",MIN(MAX(0,D1351+E1351-F1351-G1351),MAX(0,IF(MONATSBUDGET!$C$74="",0,MONATSBUDGET!$C$74)-SUM(F1340:F1359)-SUM(H1340:H1350))))</x:f>
      </x:c>
      <x:c r="I1351" s="88" t="str">
        <x:f>IF(C1351="","",MAX(0,ROUND(D1351+E1351-F1351-G1351-H1351,2)))</x:f>
      </x:c>
      <x:c r="J1351" s="88" t="str">
        <x:f>IF(C1351="","",F1351+G1351+H1351)</x:f>
      </x:c>
      <x:c r="K1351" s="88" t="str">
        <x:f>IF(C1351="","",MAX(0,SUMIFS(SONDERZAHLUNGEN!$E$9:$E$128,SONDERZAHLUNGEN!$B$9:$B$128,C1351,SONDERZAHLUNGEN!$C$9:$C$128,A1351,SONDERZAHLUNGEN!$H$9:$H$128,"OK",SONDERZAHLUNGEN!$F$9:$F$128,"Ja")-G1351))</x:f>
      </x:c>
    </x:row>
    <x:row r="1352" ht="19" customHeight="1">
      <x:c r="A1352" s="90" t="n">
        <x:f>MONATSBUDGET!$A$74</x:f>
        <x:v>48245</x:v>
      </x:c>
      <x:c r="B1352" t="n">
        <x:f>13</x:f>
        <x:v>13</x:v>
      </x:c>
      <x:c r="C1352" t="str">
        <x:f>IF($N$21="","",$N$21)</x:f>
      </x:c>
      <x:c r="D1352" s="88" t="str">
        <x:f>IF(C1352="","",I1332)</x:f>
      </x:c>
      <x:c r="E1352" s="88" t="str">
        <x:f>IF(C1352="","",ROUND(D1352*$P$21/12,2))</x:f>
      </x:c>
      <x:c r="F1352" s="88" t="str">
        <x:f>IF(C1352="","",MIN(D1352+E1352,$Q$21))</x:f>
      </x:c>
      <x:c r="G1352" s="88" t="str">
        <x:f>IF(C1352="","",MIN(MAX(0,D1352+E1352-F1352),SUMIFS(SONDERZAHLUNGEN!$E$9:$E$128,SONDERZAHLUNGEN!$B$9:$B$128,C1352,SONDERZAHLUNGEN!$C$9:$C$128,A1352,SONDERZAHLUNGEN!$H$9:$H$128,"OK",SONDERZAHLUNGEN!$F$9:$F$128,"Ja")))</x:f>
      </x:c>
      <x:c r="H1352" s="88" t="str">
        <x:f>IF(C1352="","",MIN(MAX(0,D1352+E1352-F1352-G1352),MAX(0,IF(MONATSBUDGET!$C$74="",0,MONATSBUDGET!$C$74)-SUM(F1340:F1359)-SUM(H1340:H1351))))</x:f>
      </x:c>
      <x:c r="I1352" s="88" t="str">
        <x:f>IF(C1352="","",MAX(0,ROUND(D1352+E1352-F1352-G1352-H1352,2)))</x:f>
      </x:c>
      <x:c r="J1352" s="88" t="str">
        <x:f>IF(C1352="","",F1352+G1352+H1352)</x:f>
      </x:c>
      <x:c r="K1352" s="88" t="str">
        <x:f>IF(C1352="","",MAX(0,SUMIFS(SONDERZAHLUNGEN!$E$9:$E$128,SONDERZAHLUNGEN!$B$9:$B$128,C1352,SONDERZAHLUNGEN!$C$9:$C$128,A1352,SONDERZAHLUNGEN!$H$9:$H$128,"OK",SONDERZAHLUNGEN!$F$9:$F$128,"Ja")-G1352))</x:f>
      </x:c>
    </x:row>
    <x:row r="1353" ht="19" customHeight="1">
      <x:c r="A1353" s="90" t="n">
        <x:f>MONATSBUDGET!$A$74</x:f>
        <x:v>48245</x:v>
      </x:c>
      <x:c r="B1353" t="n">
        <x:f>14</x:f>
        <x:v>14</x:v>
      </x:c>
      <x:c r="C1353" t="str">
        <x:f>IF($N$22="","",$N$22)</x:f>
      </x:c>
      <x:c r="D1353" s="88" t="str">
        <x:f>IF(C1353="","",I1333)</x:f>
      </x:c>
      <x:c r="E1353" s="88" t="str">
        <x:f>IF(C1353="","",ROUND(D1353*$P$22/12,2))</x:f>
      </x:c>
      <x:c r="F1353" s="88" t="str">
        <x:f>IF(C1353="","",MIN(D1353+E1353,$Q$22))</x:f>
      </x:c>
      <x:c r="G1353" s="88" t="str">
        <x:f>IF(C1353="","",MIN(MAX(0,D1353+E1353-F1353),SUMIFS(SONDERZAHLUNGEN!$E$9:$E$128,SONDERZAHLUNGEN!$B$9:$B$128,C1353,SONDERZAHLUNGEN!$C$9:$C$128,A1353,SONDERZAHLUNGEN!$H$9:$H$128,"OK",SONDERZAHLUNGEN!$F$9:$F$128,"Ja")))</x:f>
      </x:c>
      <x:c r="H1353" s="88" t="str">
        <x:f>IF(C1353="","",MIN(MAX(0,D1353+E1353-F1353-G1353),MAX(0,IF(MONATSBUDGET!$C$74="",0,MONATSBUDGET!$C$74)-SUM(F1340:F1359)-SUM(H1340:H1352))))</x:f>
      </x:c>
      <x:c r="I1353" s="88" t="str">
        <x:f>IF(C1353="","",MAX(0,ROUND(D1353+E1353-F1353-G1353-H1353,2)))</x:f>
      </x:c>
      <x:c r="J1353" s="88" t="str">
        <x:f>IF(C1353="","",F1353+G1353+H1353)</x:f>
      </x:c>
      <x:c r="K1353" s="88" t="str">
        <x:f>IF(C1353="","",MAX(0,SUMIFS(SONDERZAHLUNGEN!$E$9:$E$128,SONDERZAHLUNGEN!$B$9:$B$128,C1353,SONDERZAHLUNGEN!$C$9:$C$128,A1353,SONDERZAHLUNGEN!$H$9:$H$128,"OK",SONDERZAHLUNGEN!$F$9:$F$128,"Ja")-G1353))</x:f>
      </x:c>
    </x:row>
    <x:row r="1354" ht="19" customHeight="1">
      <x:c r="A1354" s="90" t="n">
        <x:f>MONATSBUDGET!$A$74</x:f>
        <x:v>48245</x:v>
      </x:c>
      <x:c r="B1354" t="n">
        <x:f>15</x:f>
        <x:v>15</x:v>
      </x:c>
      <x:c r="C1354" t="str">
        <x:f>IF($N$23="","",$N$23)</x:f>
      </x:c>
      <x:c r="D1354" s="88" t="str">
        <x:f>IF(C1354="","",I1334)</x:f>
      </x:c>
      <x:c r="E1354" s="88" t="str">
        <x:f>IF(C1354="","",ROUND(D1354*$P$23/12,2))</x:f>
      </x:c>
      <x:c r="F1354" s="88" t="str">
        <x:f>IF(C1354="","",MIN(D1354+E1354,$Q$23))</x:f>
      </x:c>
      <x:c r="G1354" s="88" t="str">
        <x:f>IF(C1354="","",MIN(MAX(0,D1354+E1354-F1354),SUMIFS(SONDERZAHLUNGEN!$E$9:$E$128,SONDERZAHLUNGEN!$B$9:$B$128,C1354,SONDERZAHLUNGEN!$C$9:$C$128,A1354,SONDERZAHLUNGEN!$H$9:$H$128,"OK",SONDERZAHLUNGEN!$F$9:$F$128,"Ja")))</x:f>
      </x:c>
      <x:c r="H1354" s="88" t="str">
        <x:f>IF(C1354="","",MIN(MAX(0,D1354+E1354-F1354-G1354),MAX(0,IF(MONATSBUDGET!$C$74="",0,MONATSBUDGET!$C$74)-SUM(F1340:F1359)-SUM(H1340:H1353))))</x:f>
      </x:c>
      <x:c r="I1354" s="88" t="str">
        <x:f>IF(C1354="","",MAX(0,ROUND(D1354+E1354-F1354-G1354-H1354,2)))</x:f>
      </x:c>
      <x:c r="J1354" s="88" t="str">
        <x:f>IF(C1354="","",F1354+G1354+H1354)</x:f>
      </x:c>
      <x:c r="K1354" s="88" t="str">
        <x:f>IF(C1354="","",MAX(0,SUMIFS(SONDERZAHLUNGEN!$E$9:$E$128,SONDERZAHLUNGEN!$B$9:$B$128,C1354,SONDERZAHLUNGEN!$C$9:$C$128,A1354,SONDERZAHLUNGEN!$H$9:$H$128,"OK",SONDERZAHLUNGEN!$F$9:$F$128,"Ja")-G1354))</x:f>
      </x:c>
    </x:row>
    <x:row r="1355" ht="19" customHeight="1">
      <x:c r="A1355" s="90" t="n">
        <x:f>MONATSBUDGET!$A$74</x:f>
        <x:v>48245</x:v>
      </x:c>
      <x:c r="B1355" t="n">
        <x:f>16</x:f>
        <x:v>16</x:v>
      </x:c>
      <x:c r="C1355" t="str">
        <x:f>IF($N$24="","",$N$24)</x:f>
      </x:c>
      <x:c r="D1355" s="88" t="str">
        <x:f>IF(C1355="","",I1335)</x:f>
      </x:c>
      <x:c r="E1355" s="88" t="str">
        <x:f>IF(C1355="","",ROUND(D1355*$P$24/12,2))</x:f>
      </x:c>
      <x:c r="F1355" s="88" t="str">
        <x:f>IF(C1355="","",MIN(D1355+E1355,$Q$24))</x:f>
      </x:c>
      <x:c r="G1355" s="88" t="str">
        <x:f>IF(C1355="","",MIN(MAX(0,D1355+E1355-F1355),SUMIFS(SONDERZAHLUNGEN!$E$9:$E$128,SONDERZAHLUNGEN!$B$9:$B$128,C1355,SONDERZAHLUNGEN!$C$9:$C$128,A1355,SONDERZAHLUNGEN!$H$9:$H$128,"OK",SONDERZAHLUNGEN!$F$9:$F$128,"Ja")))</x:f>
      </x:c>
      <x:c r="H1355" s="88" t="str">
        <x:f>IF(C1355="","",MIN(MAX(0,D1355+E1355-F1355-G1355),MAX(0,IF(MONATSBUDGET!$C$74="",0,MONATSBUDGET!$C$74)-SUM(F1340:F1359)-SUM(H1340:H1354))))</x:f>
      </x:c>
      <x:c r="I1355" s="88" t="str">
        <x:f>IF(C1355="","",MAX(0,ROUND(D1355+E1355-F1355-G1355-H1355,2)))</x:f>
      </x:c>
      <x:c r="J1355" s="88" t="str">
        <x:f>IF(C1355="","",F1355+G1355+H1355)</x:f>
      </x:c>
      <x:c r="K1355" s="88" t="str">
        <x:f>IF(C1355="","",MAX(0,SUMIFS(SONDERZAHLUNGEN!$E$9:$E$128,SONDERZAHLUNGEN!$B$9:$B$128,C1355,SONDERZAHLUNGEN!$C$9:$C$128,A1355,SONDERZAHLUNGEN!$H$9:$H$128,"OK",SONDERZAHLUNGEN!$F$9:$F$128,"Ja")-G1355))</x:f>
      </x:c>
    </x:row>
    <x:row r="1356" ht="19" customHeight="1">
      <x:c r="A1356" s="90" t="n">
        <x:f>MONATSBUDGET!$A$74</x:f>
        <x:v>48245</x:v>
      </x:c>
      <x:c r="B1356" t="n">
        <x:f>17</x:f>
        <x:v>17</x:v>
      </x:c>
      <x:c r="C1356" t="str">
        <x:f>IF($N$25="","",$N$25)</x:f>
      </x:c>
      <x:c r="D1356" s="88" t="str">
        <x:f>IF(C1356="","",I1336)</x:f>
      </x:c>
      <x:c r="E1356" s="88" t="str">
        <x:f>IF(C1356="","",ROUND(D1356*$P$25/12,2))</x:f>
      </x:c>
      <x:c r="F1356" s="88" t="str">
        <x:f>IF(C1356="","",MIN(D1356+E1356,$Q$25))</x:f>
      </x:c>
      <x:c r="G1356" s="88" t="str">
        <x:f>IF(C1356="","",MIN(MAX(0,D1356+E1356-F1356),SUMIFS(SONDERZAHLUNGEN!$E$9:$E$128,SONDERZAHLUNGEN!$B$9:$B$128,C1356,SONDERZAHLUNGEN!$C$9:$C$128,A1356,SONDERZAHLUNGEN!$H$9:$H$128,"OK",SONDERZAHLUNGEN!$F$9:$F$128,"Ja")))</x:f>
      </x:c>
      <x:c r="H1356" s="88" t="str">
        <x:f>IF(C1356="","",MIN(MAX(0,D1356+E1356-F1356-G1356),MAX(0,IF(MONATSBUDGET!$C$74="",0,MONATSBUDGET!$C$74)-SUM(F1340:F1359)-SUM(H1340:H1355))))</x:f>
      </x:c>
      <x:c r="I1356" s="88" t="str">
        <x:f>IF(C1356="","",MAX(0,ROUND(D1356+E1356-F1356-G1356-H1356,2)))</x:f>
      </x:c>
      <x:c r="J1356" s="88" t="str">
        <x:f>IF(C1356="","",F1356+G1356+H1356)</x:f>
      </x:c>
      <x:c r="K1356" s="88" t="str">
        <x:f>IF(C1356="","",MAX(0,SUMIFS(SONDERZAHLUNGEN!$E$9:$E$128,SONDERZAHLUNGEN!$B$9:$B$128,C1356,SONDERZAHLUNGEN!$C$9:$C$128,A1356,SONDERZAHLUNGEN!$H$9:$H$128,"OK",SONDERZAHLUNGEN!$F$9:$F$128,"Ja")-G1356))</x:f>
      </x:c>
    </x:row>
    <x:row r="1357" ht="19" customHeight="1">
      <x:c r="A1357" s="90" t="n">
        <x:f>MONATSBUDGET!$A$74</x:f>
        <x:v>48245</x:v>
      </x:c>
      <x:c r="B1357" t="n">
        <x:f>18</x:f>
        <x:v>18</x:v>
      </x:c>
      <x:c r="C1357" t="str">
        <x:f>IF($N$26="","",$N$26)</x:f>
      </x:c>
      <x:c r="D1357" s="88" t="str">
        <x:f>IF(C1357="","",I1337)</x:f>
      </x:c>
      <x:c r="E1357" s="88" t="str">
        <x:f>IF(C1357="","",ROUND(D1357*$P$26/12,2))</x:f>
      </x:c>
      <x:c r="F1357" s="88" t="str">
        <x:f>IF(C1357="","",MIN(D1357+E1357,$Q$26))</x:f>
      </x:c>
      <x:c r="G1357" s="88" t="str">
        <x:f>IF(C1357="","",MIN(MAX(0,D1357+E1357-F1357),SUMIFS(SONDERZAHLUNGEN!$E$9:$E$128,SONDERZAHLUNGEN!$B$9:$B$128,C1357,SONDERZAHLUNGEN!$C$9:$C$128,A1357,SONDERZAHLUNGEN!$H$9:$H$128,"OK",SONDERZAHLUNGEN!$F$9:$F$128,"Ja")))</x:f>
      </x:c>
      <x:c r="H1357" s="88" t="str">
        <x:f>IF(C1357="","",MIN(MAX(0,D1357+E1357-F1357-G1357),MAX(0,IF(MONATSBUDGET!$C$74="",0,MONATSBUDGET!$C$74)-SUM(F1340:F1359)-SUM(H1340:H1356))))</x:f>
      </x:c>
      <x:c r="I1357" s="88" t="str">
        <x:f>IF(C1357="","",MAX(0,ROUND(D1357+E1357-F1357-G1357-H1357,2)))</x:f>
      </x:c>
      <x:c r="J1357" s="88" t="str">
        <x:f>IF(C1357="","",F1357+G1357+H1357)</x:f>
      </x:c>
      <x:c r="K1357" s="88" t="str">
        <x:f>IF(C1357="","",MAX(0,SUMIFS(SONDERZAHLUNGEN!$E$9:$E$128,SONDERZAHLUNGEN!$B$9:$B$128,C1357,SONDERZAHLUNGEN!$C$9:$C$128,A1357,SONDERZAHLUNGEN!$H$9:$H$128,"OK",SONDERZAHLUNGEN!$F$9:$F$128,"Ja")-G1357))</x:f>
      </x:c>
    </x:row>
    <x:row r="1358" ht="19" customHeight="1">
      <x:c r="A1358" s="90" t="n">
        <x:f>MONATSBUDGET!$A$74</x:f>
        <x:v>48245</x:v>
      </x:c>
      <x:c r="B1358" t="n">
        <x:f>19</x:f>
        <x:v>19</x:v>
      </x:c>
      <x:c r="C1358" t="str">
        <x:f>IF($N$27="","",$N$27)</x:f>
      </x:c>
      <x:c r="D1358" s="88" t="str">
        <x:f>IF(C1358="","",I1338)</x:f>
      </x:c>
      <x:c r="E1358" s="88" t="str">
        <x:f>IF(C1358="","",ROUND(D1358*$P$27/12,2))</x:f>
      </x:c>
      <x:c r="F1358" s="88" t="str">
        <x:f>IF(C1358="","",MIN(D1358+E1358,$Q$27))</x:f>
      </x:c>
      <x:c r="G1358" s="88" t="str">
        <x:f>IF(C1358="","",MIN(MAX(0,D1358+E1358-F1358),SUMIFS(SONDERZAHLUNGEN!$E$9:$E$128,SONDERZAHLUNGEN!$B$9:$B$128,C1358,SONDERZAHLUNGEN!$C$9:$C$128,A1358,SONDERZAHLUNGEN!$H$9:$H$128,"OK",SONDERZAHLUNGEN!$F$9:$F$128,"Ja")))</x:f>
      </x:c>
      <x:c r="H1358" s="88" t="str">
        <x:f>IF(C1358="","",MIN(MAX(0,D1358+E1358-F1358-G1358),MAX(0,IF(MONATSBUDGET!$C$74="",0,MONATSBUDGET!$C$74)-SUM(F1340:F1359)-SUM(H1340:H1357))))</x:f>
      </x:c>
      <x:c r="I1358" s="88" t="str">
        <x:f>IF(C1358="","",MAX(0,ROUND(D1358+E1358-F1358-G1358-H1358,2)))</x:f>
      </x:c>
      <x:c r="J1358" s="88" t="str">
        <x:f>IF(C1358="","",F1358+G1358+H1358)</x:f>
      </x:c>
      <x:c r="K1358" s="88" t="str">
        <x:f>IF(C1358="","",MAX(0,SUMIFS(SONDERZAHLUNGEN!$E$9:$E$128,SONDERZAHLUNGEN!$B$9:$B$128,C1358,SONDERZAHLUNGEN!$C$9:$C$128,A1358,SONDERZAHLUNGEN!$H$9:$H$128,"OK",SONDERZAHLUNGEN!$F$9:$F$128,"Ja")-G1358))</x:f>
      </x:c>
    </x:row>
    <x:row r="1359" ht="19" customHeight="1">
      <x:c r="A1359" s="90" t="n">
        <x:f>MONATSBUDGET!$A$74</x:f>
        <x:v>48245</x:v>
      </x:c>
      <x:c r="B1359" t="n">
        <x:f>20</x:f>
        <x:v>20</x:v>
      </x:c>
      <x:c r="C1359" t="str">
        <x:f>IF($N$28="","",$N$28)</x:f>
      </x:c>
      <x:c r="D1359" s="88" t="str">
        <x:f>IF(C1359="","",I1339)</x:f>
      </x:c>
      <x:c r="E1359" s="88" t="str">
        <x:f>IF(C1359="","",ROUND(D1359*$P$28/12,2))</x:f>
      </x:c>
      <x:c r="F1359" s="88" t="str">
        <x:f>IF(C1359="","",MIN(D1359+E1359,$Q$28))</x:f>
      </x:c>
      <x:c r="G1359" s="88" t="str">
        <x:f>IF(C1359="","",MIN(MAX(0,D1359+E1359-F1359),SUMIFS(SONDERZAHLUNGEN!$E$9:$E$128,SONDERZAHLUNGEN!$B$9:$B$128,C1359,SONDERZAHLUNGEN!$C$9:$C$128,A1359,SONDERZAHLUNGEN!$H$9:$H$128,"OK",SONDERZAHLUNGEN!$F$9:$F$128,"Ja")))</x:f>
      </x:c>
      <x:c r="H1359" s="88" t="str">
        <x:f>IF(C1359="","",MIN(MAX(0,D1359+E1359-F1359-G1359),MAX(0,IF(MONATSBUDGET!$C$74="",0,MONATSBUDGET!$C$74)-SUM(F1340:F1359)-SUM(H1340:H1358))))</x:f>
      </x:c>
      <x:c r="I1359" s="88" t="str">
        <x:f>IF(C1359="","",MAX(0,ROUND(D1359+E1359-F1359-G1359-H1359,2)))</x:f>
      </x:c>
      <x:c r="J1359" s="88" t="str">
        <x:f>IF(C1359="","",F1359+G1359+H1359)</x:f>
      </x:c>
      <x:c r="K1359" s="88" t="str">
        <x:f>IF(C1359="","",MAX(0,SUMIFS(SONDERZAHLUNGEN!$E$9:$E$128,SONDERZAHLUNGEN!$B$9:$B$128,C1359,SONDERZAHLUNGEN!$C$9:$C$128,A1359,SONDERZAHLUNGEN!$H$9:$H$128,"OK",SONDERZAHLUNGEN!$F$9:$F$128,"Ja")-G1359))</x:f>
      </x:c>
    </x:row>
    <x:row r="1360" ht="19" customHeight="1">
      <x:c r="A1360" s="90" t="n">
        <x:f>MONATSBUDGET!$A$75</x:f>
        <x:v>48274</x:v>
      </x:c>
      <x:c r="B1360" t="n">
        <x:f>1</x:f>
        <x:v>1</x:v>
      </x:c>
      <x:c r="C1360" t="str">
        <x:f>IF($N$9="","",$N$9)</x:f>
      </x:c>
      <x:c r="D1360" s="88" t="str">
        <x:f>IF(C1360="","",I1340)</x:f>
      </x:c>
      <x:c r="E1360" s="88" t="str">
        <x:f>IF(C1360="","",ROUND(D1360*$P$9/12,2))</x:f>
      </x:c>
      <x:c r="F1360" s="88" t="str">
        <x:f>IF(C1360="","",MIN(D1360+E1360,$Q$9))</x:f>
      </x:c>
      <x:c r="G1360" s="88" t="str">
        <x:f>IF(C1360="","",MIN(MAX(0,D1360+E1360-F1360),SUMIFS(SONDERZAHLUNGEN!$E$9:$E$128,SONDERZAHLUNGEN!$B$9:$B$128,C1360,SONDERZAHLUNGEN!$C$9:$C$128,A1360,SONDERZAHLUNGEN!$H$9:$H$128,"OK",SONDERZAHLUNGEN!$F$9:$F$128,"Ja")))</x:f>
      </x:c>
      <x:c r="H1360" s="88" t="str">
        <x:f>IF(C1360="","",MIN(MAX(0,D1360+E1360-F1360-G1360),MAX(0,IF(MONATSBUDGET!$C$75="",0,MONATSBUDGET!$C$75)-SUM(F1360:F1379)-0)))</x:f>
      </x:c>
      <x:c r="I1360" s="88" t="str">
        <x:f>IF(C1360="","",MAX(0,ROUND(D1360+E1360-F1360-G1360-H1360,2)))</x:f>
      </x:c>
      <x:c r="J1360" s="88" t="str">
        <x:f>IF(C1360="","",F1360+G1360+H1360)</x:f>
      </x:c>
      <x:c r="K1360" s="88" t="str">
        <x:f>IF(C1360="","",MAX(0,SUMIFS(SONDERZAHLUNGEN!$E$9:$E$128,SONDERZAHLUNGEN!$B$9:$B$128,C1360,SONDERZAHLUNGEN!$C$9:$C$128,A1360,SONDERZAHLUNGEN!$H$9:$H$128,"OK",SONDERZAHLUNGEN!$F$9:$F$128,"Ja")-G1360))</x:f>
      </x:c>
    </x:row>
    <x:row r="1361" ht="19" customHeight="1">
      <x:c r="A1361" s="90" t="n">
        <x:f>MONATSBUDGET!$A$75</x:f>
        <x:v>48274</x:v>
      </x:c>
      <x:c r="B1361" t="n">
        <x:f>2</x:f>
        <x:v>2</x:v>
      </x:c>
      <x:c r="C1361" t="str">
        <x:f>IF($N$10="","",$N$10)</x:f>
      </x:c>
      <x:c r="D1361" s="88" t="str">
        <x:f>IF(C1361="","",I1341)</x:f>
      </x:c>
      <x:c r="E1361" s="88" t="str">
        <x:f>IF(C1361="","",ROUND(D1361*$P$10/12,2))</x:f>
      </x:c>
      <x:c r="F1361" s="88" t="str">
        <x:f>IF(C1361="","",MIN(D1361+E1361,$Q$10))</x:f>
      </x:c>
      <x:c r="G1361" s="88" t="str">
        <x:f>IF(C1361="","",MIN(MAX(0,D1361+E1361-F1361),SUMIFS(SONDERZAHLUNGEN!$E$9:$E$128,SONDERZAHLUNGEN!$B$9:$B$128,C1361,SONDERZAHLUNGEN!$C$9:$C$128,A1361,SONDERZAHLUNGEN!$H$9:$H$128,"OK",SONDERZAHLUNGEN!$F$9:$F$128,"Ja")))</x:f>
      </x:c>
      <x:c r="H1361" s="88" t="str">
        <x:f>IF(C1361="","",MIN(MAX(0,D1361+E1361-F1361-G1361),MAX(0,IF(MONATSBUDGET!$C$75="",0,MONATSBUDGET!$C$75)-SUM(F1360:F1379)-SUM(H1360:H1360))))</x:f>
      </x:c>
      <x:c r="I1361" s="88" t="str">
        <x:f>IF(C1361="","",MAX(0,ROUND(D1361+E1361-F1361-G1361-H1361,2)))</x:f>
      </x:c>
      <x:c r="J1361" s="88" t="str">
        <x:f>IF(C1361="","",F1361+G1361+H1361)</x:f>
      </x:c>
      <x:c r="K1361" s="88" t="str">
        <x:f>IF(C1361="","",MAX(0,SUMIFS(SONDERZAHLUNGEN!$E$9:$E$128,SONDERZAHLUNGEN!$B$9:$B$128,C1361,SONDERZAHLUNGEN!$C$9:$C$128,A1361,SONDERZAHLUNGEN!$H$9:$H$128,"OK",SONDERZAHLUNGEN!$F$9:$F$128,"Ja")-G1361))</x:f>
      </x:c>
    </x:row>
    <x:row r="1362" ht="19" customHeight="1">
      <x:c r="A1362" s="90" t="n">
        <x:f>MONATSBUDGET!$A$75</x:f>
        <x:v>48274</x:v>
      </x:c>
      <x:c r="B1362" t="n">
        <x:f>3</x:f>
        <x:v>3</x:v>
      </x:c>
      <x:c r="C1362" t="str">
        <x:f>IF($N$11="","",$N$11)</x:f>
      </x:c>
      <x:c r="D1362" s="88" t="str">
        <x:f>IF(C1362="","",I1342)</x:f>
      </x:c>
      <x:c r="E1362" s="88" t="str">
        <x:f>IF(C1362="","",ROUND(D1362*$P$11/12,2))</x:f>
      </x:c>
      <x:c r="F1362" s="88" t="str">
        <x:f>IF(C1362="","",MIN(D1362+E1362,$Q$11))</x:f>
      </x:c>
      <x:c r="G1362" s="88" t="str">
        <x:f>IF(C1362="","",MIN(MAX(0,D1362+E1362-F1362),SUMIFS(SONDERZAHLUNGEN!$E$9:$E$128,SONDERZAHLUNGEN!$B$9:$B$128,C1362,SONDERZAHLUNGEN!$C$9:$C$128,A1362,SONDERZAHLUNGEN!$H$9:$H$128,"OK",SONDERZAHLUNGEN!$F$9:$F$128,"Ja")))</x:f>
      </x:c>
      <x:c r="H1362" s="88" t="str">
        <x:f>IF(C1362="","",MIN(MAX(0,D1362+E1362-F1362-G1362),MAX(0,IF(MONATSBUDGET!$C$75="",0,MONATSBUDGET!$C$75)-SUM(F1360:F1379)-SUM(H1360:H1361))))</x:f>
      </x:c>
      <x:c r="I1362" s="88" t="str">
        <x:f>IF(C1362="","",MAX(0,ROUND(D1362+E1362-F1362-G1362-H1362,2)))</x:f>
      </x:c>
      <x:c r="J1362" s="88" t="str">
        <x:f>IF(C1362="","",F1362+G1362+H1362)</x:f>
      </x:c>
      <x:c r="K1362" s="88" t="str">
        <x:f>IF(C1362="","",MAX(0,SUMIFS(SONDERZAHLUNGEN!$E$9:$E$128,SONDERZAHLUNGEN!$B$9:$B$128,C1362,SONDERZAHLUNGEN!$C$9:$C$128,A1362,SONDERZAHLUNGEN!$H$9:$H$128,"OK",SONDERZAHLUNGEN!$F$9:$F$128,"Ja")-G1362))</x:f>
      </x:c>
    </x:row>
    <x:row r="1363" ht="19" customHeight="1">
      <x:c r="A1363" s="90" t="n">
        <x:f>MONATSBUDGET!$A$75</x:f>
        <x:v>48274</x:v>
      </x:c>
      <x:c r="B1363" t="n">
        <x:f>4</x:f>
        <x:v>4</x:v>
      </x:c>
      <x:c r="C1363" t="str">
        <x:f>IF($N$12="","",$N$12)</x:f>
      </x:c>
      <x:c r="D1363" s="88" t="str">
        <x:f>IF(C1363="","",I1343)</x:f>
      </x:c>
      <x:c r="E1363" s="88" t="str">
        <x:f>IF(C1363="","",ROUND(D1363*$P$12/12,2))</x:f>
      </x:c>
      <x:c r="F1363" s="88" t="str">
        <x:f>IF(C1363="","",MIN(D1363+E1363,$Q$12))</x:f>
      </x:c>
      <x:c r="G1363" s="88" t="str">
        <x:f>IF(C1363="","",MIN(MAX(0,D1363+E1363-F1363),SUMIFS(SONDERZAHLUNGEN!$E$9:$E$128,SONDERZAHLUNGEN!$B$9:$B$128,C1363,SONDERZAHLUNGEN!$C$9:$C$128,A1363,SONDERZAHLUNGEN!$H$9:$H$128,"OK",SONDERZAHLUNGEN!$F$9:$F$128,"Ja")))</x:f>
      </x:c>
      <x:c r="H1363" s="88" t="str">
        <x:f>IF(C1363="","",MIN(MAX(0,D1363+E1363-F1363-G1363),MAX(0,IF(MONATSBUDGET!$C$75="",0,MONATSBUDGET!$C$75)-SUM(F1360:F1379)-SUM(H1360:H1362))))</x:f>
      </x:c>
      <x:c r="I1363" s="88" t="str">
        <x:f>IF(C1363="","",MAX(0,ROUND(D1363+E1363-F1363-G1363-H1363,2)))</x:f>
      </x:c>
      <x:c r="J1363" s="88" t="str">
        <x:f>IF(C1363="","",F1363+G1363+H1363)</x:f>
      </x:c>
      <x:c r="K1363" s="88" t="str">
        <x:f>IF(C1363="","",MAX(0,SUMIFS(SONDERZAHLUNGEN!$E$9:$E$128,SONDERZAHLUNGEN!$B$9:$B$128,C1363,SONDERZAHLUNGEN!$C$9:$C$128,A1363,SONDERZAHLUNGEN!$H$9:$H$128,"OK",SONDERZAHLUNGEN!$F$9:$F$128,"Ja")-G1363))</x:f>
      </x:c>
    </x:row>
    <x:row r="1364" ht="19" customHeight="1">
      <x:c r="A1364" s="90" t="n">
        <x:f>MONATSBUDGET!$A$75</x:f>
        <x:v>48274</x:v>
      </x:c>
      <x:c r="B1364" t="n">
        <x:f>5</x:f>
        <x:v>5</x:v>
      </x:c>
      <x:c r="C1364" t="str">
        <x:f>IF($N$13="","",$N$13)</x:f>
      </x:c>
      <x:c r="D1364" s="88" t="str">
        <x:f>IF(C1364="","",I1344)</x:f>
      </x:c>
      <x:c r="E1364" s="88" t="str">
        <x:f>IF(C1364="","",ROUND(D1364*$P$13/12,2))</x:f>
      </x:c>
      <x:c r="F1364" s="88" t="str">
        <x:f>IF(C1364="","",MIN(D1364+E1364,$Q$13))</x:f>
      </x:c>
      <x:c r="G1364" s="88" t="str">
        <x:f>IF(C1364="","",MIN(MAX(0,D1364+E1364-F1364),SUMIFS(SONDERZAHLUNGEN!$E$9:$E$128,SONDERZAHLUNGEN!$B$9:$B$128,C1364,SONDERZAHLUNGEN!$C$9:$C$128,A1364,SONDERZAHLUNGEN!$H$9:$H$128,"OK",SONDERZAHLUNGEN!$F$9:$F$128,"Ja")))</x:f>
      </x:c>
      <x:c r="H1364" s="88" t="str">
        <x:f>IF(C1364="","",MIN(MAX(0,D1364+E1364-F1364-G1364),MAX(0,IF(MONATSBUDGET!$C$75="",0,MONATSBUDGET!$C$75)-SUM(F1360:F1379)-SUM(H1360:H1363))))</x:f>
      </x:c>
      <x:c r="I1364" s="88" t="str">
        <x:f>IF(C1364="","",MAX(0,ROUND(D1364+E1364-F1364-G1364-H1364,2)))</x:f>
      </x:c>
      <x:c r="J1364" s="88" t="str">
        <x:f>IF(C1364="","",F1364+G1364+H1364)</x:f>
      </x:c>
      <x:c r="K1364" s="88" t="str">
        <x:f>IF(C1364="","",MAX(0,SUMIFS(SONDERZAHLUNGEN!$E$9:$E$128,SONDERZAHLUNGEN!$B$9:$B$128,C1364,SONDERZAHLUNGEN!$C$9:$C$128,A1364,SONDERZAHLUNGEN!$H$9:$H$128,"OK",SONDERZAHLUNGEN!$F$9:$F$128,"Ja")-G1364))</x:f>
      </x:c>
    </x:row>
    <x:row r="1365" ht="19" customHeight="1">
      <x:c r="A1365" s="90" t="n">
        <x:f>MONATSBUDGET!$A$75</x:f>
        <x:v>48274</x:v>
      </x:c>
      <x:c r="B1365" t="n">
        <x:f>6</x:f>
        <x:v>6</x:v>
      </x:c>
      <x:c r="C1365" t="str">
        <x:f>IF($N$14="","",$N$14)</x:f>
      </x:c>
      <x:c r="D1365" s="88" t="str">
        <x:f>IF(C1365="","",I1345)</x:f>
      </x:c>
      <x:c r="E1365" s="88" t="str">
        <x:f>IF(C1365="","",ROUND(D1365*$P$14/12,2))</x:f>
      </x:c>
      <x:c r="F1365" s="88" t="str">
        <x:f>IF(C1365="","",MIN(D1365+E1365,$Q$14))</x:f>
      </x:c>
      <x:c r="G1365" s="88" t="str">
        <x:f>IF(C1365="","",MIN(MAX(0,D1365+E1365-F1365),SUMIFS(SONDERZAHLUNGEN!$E$9:$E$128,SONDERZAHLUNGEN!$B$9:$B$128,C1365,SONDERZAHLUNGEN!$C$9:$C$128,A1365,SONDERZAHLUNGEN!$H$9:$H$128,"OK",SONDERZAHLUNGEN!$F$9:$F$128,"Ja")))</x:f>
      </x:c>
      <x:c r="H1365" s="88" t="str">
        <x:f>IF(C1365="","",MIN(MAX(0,D1365+E1365-F1365-G1365),MAX(0,IF(MONATSBUDGET!$C$75="",0,MONATSBUDGET!$C$75)-SUM(F1360:F1379)-SUM(H1360:H1364))))</x:f>
      </x:c>
      <x:c r="I1365" s="88" t="str">
        <x:f>IF(C1365="","",MAX(0,ROUND(D1365+E1365-F1365-G1365-H1365,2)))</x:f>
      </x:c>
      <x:c r="J1365" s="88" t="str">
        <x:f>IF(C1365="","",F1365+G1365+H1365)</x:f>
      </x:c>
      <x:c r="K1365" s="88" t="str">
        <x:f>IF(C1365="","",MAX(0,SUMIFS(SONDERZAHLUNGEN!$E$9:$E$128,SONDERZAHLUNGEN!$B$9:$B$128,C1365,SONDERZAHLUNGEN!$C$9:$C$128,A1365,SONDERZAHLUNGEN!$H$9:$H$128,"OK",SONDERZAHLUNGEN!$F$9:$F$128,"Ja")-G1365))</x:f>
      </x:c>
    </x:row>
    <x:row r="1366" ht="19" customHeight="1">
      <x:c r="A1366" s="90" t="n">
        <x:f>MONATSBUDGET!$A$75</x:f>
        <x:v>48274</x:v>
      </x:c>
      <x:c r="B1366" t="n">
        <x:f>7</x:f>
        <x:v>7</x:v>
      </x:c>
      <x:c r="C1366" t="str">
        <x:f>IF($N$15="","",$N$15)</x:f>
      </x:c>
      <x:c r="D1366" s="88" t="str">
        <x:f>IF(C1366="","",I1346)</x:f>
      </x:c>
      <x:c r="E1366" s="88" t="str">
        <x:f>IF(C1366="","",ROUND(D1366*$P$15/12,2))</x:f>
      </x:c>
      <x:c r="F1366" s="88" t="str">
        <x:f>IF(C1366="","",MIN(D1366+E1366,$Q$15))</x:f>
      </x:c>
      <x:c r="G1366" s="88" t="str">
        <x:f>IF(C1366="","",MIN(MAX(0,D1366+E1366-F1366),SUMIFS(SONDERZAHLUNGEN!$E$9:$E$128,SONDERZAHLUNGEN!$B$9:$B$128,C1366,SONDERZAHLUNGEN!$C$9:$C$128,A1366,SONDERZAHLUNGEN!$H$9:$H$128,"OK",SONDERZAHLUNGEN!$F$9:$F$128,"Ja")))</x:f>
      </x:c>
      <x:c r="H1366" s="88" t="str">
        <x:f>IF(C1366="","",MIN(MAX(0,D1366+E1366-F1366-G1366),MAX(0,IF(MONATSBUDGET!$C$75="",0,MONATSBUDGET!$C$75)-SUM(F1360:F1379)-SUM(H1360:H1365))))</x:f>
      </x:c>
      <x:c r="I1366" s="88" t="str">
        <x:f>IF(C1366="","",MAX(0,ROUND(D1366+E1366-F1366-G1366-H1366,2)))</x:f>
      </x:c>
      <x:c r="J1366" s="88" t="str">
        <x:f>IF(C1366="","",F1366+G1366+H1366)</x:f>
      </x:c>
      <x:c r="K1366" s="88" t="str">
        <x:f>IF(C1366="","",MAX(0,SUMIFS(SONDERZAHLUNGEN!$E$9:$E$128,SONDERZAHLUNGEN!$B$9:$B$128,C1366,SONDERZAHLUNGEN!$C$9:$C$128,A1366,SONDERZAHLUNGEN!$H$9:$H$128,"OK",SONDERZAHLUNGEN!$F$9:$F$128,"Ja")-G1366))</x:f>
      </x:c>
    </x:row>
    <x:row r="1367" ht="19" customHeight="1">
      <x:c r="A1367" s="90" t="n">
        <x:f>MONATSBUDGET!$A$75</x:f>
        <x:v>48274</x:v>
      </x:c>
      <x:c r="B1367" t="n">
        <x:f>8</x:f>
        <x:v>8</x:v>
      </x:c>
      <x:c r="C1367" t="str">
        <x:f>IF($N$16="","",$N$16)</x:f>
      </x:c>
      <x:c r="D1367" s="88" t="str">
        <x:f>IF(C1367="","",I1347)</x:f>
      </x:c>
      <x:c r="E1367" s="88" t="str">
        <x:f>IF(C1367="","",ROUND(D1367*$P$16/12,2))</x:f>
      </x:c>
      <x:c r="F1367" s="88" t="str">
        <x:f>IF(C1367="","",MIN(D1367+E1367,$Q$16))</x:f>
      </x:c>
      <x:c r="G1367" s="88" t="str">
        <x:f>IF(C1367="","",MIN(MAX(0,D1367+E1367-F1367),SUMIFS(SONDERZAHLUNGEN!$E$9:$E$128,SONDERZAHLUNGEN!$B$9:$B$128,C1367,SONDERZAHLUNGEN!$C$9:$C$128,A1367,SONDERZAHLUNGEN!$H$9:$H$128,"OK",SONDERZAHLUNGEN!$F$9:$F$128,"Ja")))</x:f>
      </x:c>
      <x:c r="H1367" s="88" t="str">
        <x:f>IF(C1367="","",MIN(MAX(0,D1367+E1367-F1367-G1367),MAX(0,IF(MONATSBUDGET!$C$75="",0,MONATSBUDGET!$C$75)-SUM(F1360:F1379)-SUM(H1360:H1366))))</x:f>
      </x:c>
      <x:c r="I1367" s="88" t="str">
        <x:f>IF(C1367="","",MAX(0,ROUND(D1367+E1367-F1367-G1367-H1367,2)))</x:f>
      </x:c>
      <x:c r="J1367" s="88" t="str">
        <x:f>IF(C1367="","",F1367+G1367+H1367)</x:f>
      </x:c>
      <x:c r="K1367" s="88" t="str">
        <x:f>IF(C1367="","",MAX(0,SUMIFS(SONDERZAHLUNGEN!$E$9:$E$128,SONDERZAHLUNGEN!$B$9:$B$128,C1367,SONDERZAHLUNGEN!$C$9:$C$128,A1367,SONDERZAHLUNGEN!$H$9:$H$128,"OK",SONDERZAHLUNGEN!$F$9:$F$128,"Ja")-G1367))</x:f>
      </x:c>
    </x:row>
    <x:row r="1368" ht="19" customHeight="1">
      <x:c r="A1368" s="90" t="n">
        <x:f>MONATSBUDGET!$A$75</x:f>
        <x:v>48274</x:v>
      </x:c>
      <x:c r="B1368" t="n">
        <x:f>9</x:f>
        <x:v>9</x:v>
      </x:c>
      <x:c r="C1368" t="str">
        <x:f>IF($N$17="","",$N$17)</x:f>
      </x:c>
      <x:c r="D1368" s="88" t="str">
        <x:f>IF(C1368="","",I1348)</x:f>
      </x:c>
      <x:c r="E1368" s="88" t="str">
        <x:f>IF(C1368="","",ROUND(D1368*$P$17/12,2))</x:f>
      </x:c>
      <x:c r="F1368" s="88" t="str">
        <x:f>IF(C1368="","",MIN(D1368+E1368,$Q$17))</x:f>
      </x:c>
      <x:c r="G1368" s="88" t="str">
        <x:f>IF(C1368="","",MIN(MAX(0,D1368+E1368-F1368),SUMIFS(SONDERZAHLUNGEN!$E$9:$E$128,SONDERZAHLUNGEN!$B$9:$B$128,C1368,SONDERZAHLUNGEN!$C$9:$C$128,A1368,SONDERZAHLUNGEN!$H$9:$H$128,"OK",SONDERZAHLUNGEN!$F$9:$F$128,"Ja")))</x:f>
      </x:c>
      <x:c r="H1368" s="88" t="str">
        <x:f>IF(C1368="","",MIN(MAX(0,D1368+E1368-F1368-G1368),MAX(0,IF(MONATSBUDGET!$C$75="",0,MONATSBUDGET!$C$75)-SUM(F1360:F1379)-SUM(H1360:H1367))))</x:f>
      </x:c>
      <x:c r="I1368" s="88" t="str">
        <x:f>IF(C1368="","",MAX(0,ROUND(D1368+E1368-F1368-G1368-H1368,2)))</x:f>
      </x:c>
      <x:c r="J1368" s="88" t="str">
        <x:f>IF(C1368="","",F1368+G1368+H1368)</x:f>
      </x:c>
      <x:c r="K1368" s="88" t="str">
        <x:f>IF(C1368="","",MAX(0,SUMIFS(SONDERZAHLUNGEN!$E$9:$E$128,SONDERZAHLUNGEN!$B$9:$B$128,C1368,SONDERZAHLUNGEN!$C$9:$C$128,A1368,SONDERZAHLUNGEN!$H$9:$H$128,"OK",SONDERZAHLUNGEN!$F$9:$F$128,"Ja")-G1368))</x:f>
      </x:c>
    </x:row>
    <x:row r="1369" ht="19" customHeight="1">
      <x:c r="A1369" s="90" t="n">
        <x:f>MONATSBUDGET!$A$75</x:f>
        <x:v>48274</x:v>
      </x:c>
      <x:c r="B1369" t="n">
        <x:f>10</x:f>
        <x:v>10</x:v>
      </x:c>
      <x:c r="C1369" t="str">
        <x:f>IF($N$18="","",$N$18)</x:f>
      </x:c>
      <x:c r="D1369" s="88" t="str">
        <x:f>IF(C1369="","",I1349)</x:f>
      </x:c>
      <x:c r="E1369" s="88" t="str">
        <x:f>IF(C1369="","",ROUND(D1369*$P$18/12,2))</x:f>
      </x:c>
      <x:c r="F1369" s="88" t="str">
        <x:f>IF(C1369="","",MIN(D1369+E1369,$Q$18))</x:f>
      </x:c>
      <x:c r="G1369" s="88" t="str">
        <x:f>IF(C1369="","",MIN(MAX(0,D1369+E1369-F1369),SUMIFS(SONDERZAHLUNGEN!$E$9:$E$128,SONDERZAHLUNGEN!$B$9:$B$128,C1369,SONDERZAHLUNGEN!$C$9:$C$128,A1369,SONDERZAHLUNGEN!$H$9:$H$128,"OK",SONDERZAHLUNGEN!$F$9:$F$128,"Ja")))</x:f>
      </x:c>
      <x:c r="H1369" s="88" t="str">
        <x:f>IF(C1369="","",MIN(MAX(0,D1369+E1369-F1369-G1369),MAX(0,IF(MONATSBUDGET!$C$75="",0,MONATSBUDGET!$C$75)-SUM(F1360:F1379)-SUM(H1360:H1368))))</x:f>
      </x:c>
      <x:c r="I1369" s="88" t="str">
        <x:f>IF(C1369="","",MAX(0,ROUND(D1369+E1369-F1369-G1369-H1369,2)))</x:f>
      </x:c>
      <x:c r="J1369" s="88" t="str">
        <x:f>IF(C1369="","",F1369+G1369+H1369)</x:f>
      </x:c>
      <x:c r="K1369" s="88" t="str">
        <x:f>IF(C1369="","",MAX(0,SUMIFS(SONDERZAHLUNGEN!$E$9:$E$128,SONDERZAHLUNGEN!$B$9:$B$128,C1369,SONDERZAHLUNGEN!$C$9:$C$128,A1369,SONDERZAHLUNGEN!$H$9:$H$128,"OK",SONDERZAHLUNGEN!$F$9:$F$128,"Ja")-G1369))</x:f>
      </x:c>
    </x:row>
    <x:row r="1370" ht="19" customHeight="1">
      <x:c r="A1370" s="90" t="n">
        <x:f>MONATSBUDGET!$A$75</x:f>
        <x:v>48274</x:v>
      </x:c>
      <x:c r="B1370" t="n">
        <x:f>11</x:f>
        <x:v>11</x:v>
      </x:c>
      <x:c r="C1370" t="str">
        <x:f>IF($N$19="","",$N$19)</x:f>
      </x:c>
      <x:c r="D1370" s="88" t="str">
        <x:f>IF(C1370="","",I1350)</x:f>
      </x:c>
      <x:c r="E1370" s="88" t="str">
        <x:f>IF(C1370="","",ROUND(D1370*$P$19/12,2))</x:f>
      </x:c>
      <x:c r="F1370" s="88" t="str">
        <x:f>IF(C1370="","",MIN(D1370+E1370,$Q$19))</x:f>
      </x:c>
      <x:c r="G1370" s="88" t="str">
        <x:f>IF(C1370="","",MIN(MAX(0,D1370+E1370-F1370),SUMIFS(SONDERZAHLUNGEN!$E$9:$E$128,SONDERZAHLUNGEN!$B$9:$B$128,C1370,SONDERZAHLUNGEN!$C$9:$C$128,A1370,SONDERZAHLUNGEN!$H$9:$H$128,"OK",SONDERZAHLUNGEN!$F$9:$F$128,"Ja")))</x:f>
      </x:c>
      <x:c r="H1370" s="88" t="str">
        <x:f>IF(C1370="","",MIN(MAX(0,D1370+E1370-F1370-G1370),MAX(0,IF(MONATSBUDGET!$C$75="",0,MONATSBUDGET!$C$75)-SUM(F1360:F1379)-SUM(H1360:H1369))))</x:f>
      </x:c>
      <x:c r="I1370" s="88" t="str">
        <x:f>IF(C1370="","",MAX(0,ROUND(D1370+E1370-F1370-G1370-H1370,2)))</x:f>
      </x:c>
      <x:c r="J1370" s="88" t="str">
        <x:f>IF(C1370="","",F1370+G1370+H1370)</x:f>
      </x:c>
      <x:c r="K1370" s="88" t="str">
        <x:f>IF(C1370="","",MAX(0,SUMIFS(SONDERZAHLUNGEN!$E$9:$E$128,SONDERZAHLUNGEN!$B$9:$B$128,C1370,SONDERZAHLUNGEN!$C$9:$C$128,A1370,SONDERZAHLUNGEN!$H$9:$H$128,"OK",SONDERZAHLUNGEN!$F$9:$F$128,"Ja")-G1370))</x:f>
      </x:c>
    </x:row>
    <x:row r="1371" ht="19" customHeight="1">
      <x:c r="A1371" s="90" t="n">
        <x:f>MONATSBUDGET!$A$75</x:f>
        <x:v>48274</x:v>
      </x:c>
      <x:c r="B1371" t="n">
        <x:f>12</x:f>
        <x:v>12</x:v>
      </x:c>
      <x:c r="C1371" t="str">
        <x:f>IF($N$20="","",$N$20)</x:f>
      </x:c>
      <x:c r="D1371" s="88" t="str">
        <x:f>IF(C1371="","",I1351)</x:f>
      </x:c>
      <x:c r="E1371" s="88" t="str">
        <x:f>IF(C1371="","",ROUND(D1371*$P$20/12,2))</x:f>
      </x:c>
      <x:c r="F1371" s="88" t="str">
        <x:f>IF(C1371="","",MIN(D1371+E1371,$Q$20))</x:f>
      </x:c>
      <x:c r="G1371" s="88" t="str">
        <x:f>IF(C1371="","",MIN(MAX(0,D1371+E1371-F1371),SUMIFS(SONDERZAHLUNGEN!$E$9:$E$128,SONDERZAHLUNGEN!$B$9:$B$128,C1371,SONDERZAHLUNGEN!$C$9:$C$128,A1371,SONDERZAHLUNGEN!$H$9:$H$128,"OK",SONDERZAHLUNGEN!$F$9:$F$128,"Ja")))</x:f>
      </x:c>
      <x:c r="H1371" s="88" t="str">
        <x:f>IF(C1371="","",MIN(MAX(0,D1371+E1371-F1371-G1371),MAX(0,IF(MONATSBUDGET!$C$75="",0,MONATSBUDGET!$C$75)-SUM(F1360:F1379)-SUM(H1360:H1370))))</x:f>
      </x:c>
      <x:c r="I1371" s="88" t="str">
        <x:f>IF(C1371="","",MAX(0,ROUND(D1371+E1371-F1371-G1371-H1371,2)))</x:f>
      </x:c>
      <x:c r="J1371" s="88" t="str">
        <x:f>IF(C1371="","",F1371+G1371+H1371)</x:f>
      </x:c>
      <x:c r="K1371" s="88" t="str">
        <x:f>IF(C1371="","",MAX(0,SUMIFS(SONDERZAHLUNGEN!$E$9:$E$128,SONDERZAHLUNGEN!$B$9:$B$128,C1371,SONDERZAHLUNGEN!$C$9:$C$128,A1371,SONDERZAHLUNGEN!$H$9:$H$128,"OK",SONDERZAHLUNGEN!$F$9:$F$128,"Ja")-G1371))</x:f>
      </x:c>
    </x:row>
    <x:row r="1372" ht="19" customHeight="1">
      <x:c r="A1372" s="90" t="n">
        <x:f>MONATSBUDGET!$A$75</x:f>
        <x:v>48274</x:v>
      </x:c>
      <x:c r="B1372" t="n">
        <x:f>13</x:f>
        <x:v>13</x:v>
      </x:c>
      <x:c r="C1372" t="str">
        <x:f>IF($N$21="","",$N$21)</x:f>
      </x:c>
      <x:c r="D1372" s="88" t="str">
        <x:f>IF(C1372="","",I1352)</x:f>
      </x:c>
      <x:c r="E1372" s="88" t="str">
        <x:f>IF(C1372="","",ROUND(D1372*$P$21/12,2))</x:f>
      </x:c>
      <x:c r="F1372" s="88" t="str">
        <x:f>IF(C1372="","",MIN(D1372+E1372,$Q$21))</x:f>
      </x:c>
      <x:c r="G1372" s="88" t="str">
        <x:f>IF(C1372="","",MIN(MAX(0,D1372+E1372-F1372),SUMIFS(SONDERZAHLUNGEN!$E$9:$E$128,SONDERZAHLUNGEN!$B$9:$B$128,C1372,SONDERZAHLUNGEN!$C$9:$C$128,A1372,SONDERZAHLUNGEN!$H$9:$H$128,"OK",SONDERZAHLUNGEN!$F$9:$F$128,"Ja")))</x:f>
      </x:c>
      <x:c r="H1372" s="88" t="str">
        <x:f>IF(C1372="","",MIN(MAX(0,D1372+E1372-F1372-G1372),MAX(0,IF(MONATSBUDGET!$C$75="",0,MONATSBUDGET!$C$75)-SUM(F1360:F1379)-SUM(H1360:H1371))))</x:f>
      </x:c>
      <x:c r="I1372" s="88" t="str">
        <x:f>IF(C1372="","",MAX(0,ROUND(D1372+E1372-F1372-G1372-H1372,2)))</x:f>
      </x:c>
      <x:c r="J1372" s="88" t="str">
        <x:f>IF(C1372="","",F1372+G1372+H1372)</x:f>
      </x:c>
      <x:c r="K1372" s="88" t="str">
        <x:f>IF(C1372="","",MAX(0,SUMIFS(SONDERZAHLUNGEN!$E$9:$E$128,SONDERZAHLUNGEN!$B$9:$B$128,C1372,SONDERZAHLUNGEN!$C$9:$C$128,A1372,SONDERZAHLUNGEN!$H$9:$H$128,"OK",SONDERZAHLUNGEN!$F$9:$F$128,"Ja")-G1372))</x:f>
      </x:c>
    </x:row>
    <x:row r="1373" ht="19" customHeight="1">
      <x:c r="A1373" s="90" t="n">
        <x:f>MONATSBUDGET!$A$75</x:f>
        <x:v>48274</x:v>
      </x:c>
      <x:c r="B1373" t="n">
        <x:f>14</x:f>
        <x:v>14</x:v>
      </x:c>
      <x:c r="C1373" t="str">
        <x:f>IF($N$22="","",$N$22)</x:f>
      </x:c>
      <x:c r="D1373" s="88" t="str">
        <x:f>IF(C1373="","",I1353)</x:f>
      </x:c>
      <x:c r="E1373" s="88" t="str">
        <x:f>IF(C1373="","",ROUND(D1373*$P$22/12,2))</x:f>
      </x:c>
      <x:c r="F1373" s="88" t="str">
        <x:f>IF(C1373="","",MIN(D1373+E1373,$Q$22))</x:f>
      </x:c>
      <x:c r="G1373" s="88" t="str">
        <x:f>IF(C1373="","",MIN(MAX(0,D1373+E1373-F1373),SUMIFS(SONDERZAHLUNGEN!$E$9:$E$128,SONDERZAHLUNGEN!$B$9:$B$128,C1373,SONDERZAHLUNGEN!$C$9:$C$128,A1373,SONDERZAHLUNGEN!$H$9:$H$128,"OK",SONDERZAHLUNGEN!$F$9:$F$128,"Ja")))</x:f>
      </x:c>
      <x:c r="H1373" s="88" t="str">
        <x:f>IF(C1373="","",MIN(MAX(0,D1373+E1373-F1373-G1373),MAX(0,IF(MONATSBUDGET!$C$75="",0,MONATSBUDGET!$C$75)-SUM(F1360:F1379)-SUM(H1360:H1372))))</x:f>
      </x:c>
      <x:c r="I1373" s="88" t="str">
        <x:f>IF(C1373="","",MAX(0,ROUND(D1373+E1373-F1373-G1373-H1373,2)))</x:f>
      </x:c>
      <x:c r="J1373" s="88" t="str">
        <x:f>IF(C1373="","",F1373+G1373+H1373)</x:f>
      </x:c>
      <x:c r="K1373" s="88" t="str">
        <x:f>IF(C1373="","",MAX(0,SUMIFS(SONDERZAHLUNGEN!$E$9:$E$128,SONDERZAHLUNGEN!$B$9:$B$128,C1373,SONDERZAHLUNGEN!$C$9:$C$128,A1373,SONDERZAHLUNGEN!$H$9:$H$128,"OK",SONDERZAHLUNGEN!$F$9:$F$128,"Ja")-G1373))</x:f>
      </x:c>
    </x:row>
    <x:row r="1374" ht="19" customHeight="1">
      <x:c r="A1374" s="90" t="n">
        <x:f>MONATSBUDGET!$A$75</x:f>
        <x:v>48274</x:v>
      </x:c>
      <x:c r="B1374" t="n">
        <x:f>15</x:f>
        <x:v>15</x:v>
      </x:c>
      <x:c r="C1374" t="str">
        <x:f>IF($N$23="","",$N$23)</x:f>
      </x:c>
      <x:c r="D1374" s="88" t="str">
        <x:f>IF(C1374="","",I1354)</x:f>
      </x:c>
      <x:c r="E1374" s="88" t="str">
        <x:f>IF(C1374="","",ROUND(D1374*$P$23/12,2))</x:f>
      </x:c>
      <x:c r="F1374" s="88" t="str">
        <x:f>IF(C1374="","",MIN(D1374+E1374,$Q$23))</x:f>
      </x:c>
      <x:c r="G1374" s="88" t="str">
        <x:f>IF(C1374="","",MIN(MAX(0,D1374+E1374-F1374),SUMIFS(SONDERZAHLUNGEN!$E$9:$E$128,SONDERZAHLUNGEN!$B$9:$B$128,C1374,SONDERZAHLUNGEN!$C$9:$C$128,A1374,SONDERZAHLUNGEN!$H$9:$H$128,"OK",SONDERZAHLUNGEN!$F$9:$F$128,"Ja")))</x:f>
      </x:c>
      <x:c r="H1374" s="88" t="str">
        <x:f>IF(C1374="","",MIN(MAX(0,D1374+E1374-F1374-G1374),MAX(0,IF(MONATSBUDGET!$C$75="",0,MONATSBUDGET!$C$75)-SUM(F1360:F1379)-SUM(H1360:H1373))))</x:f>
      </x:c>
      <x:c r="I1374" s="88" t="str">
        <x:f>IF(C1374="","",MAX(0,ROUND(D1374+E1374-F1374-G1374-H1374,2)))</x:f>
      </x:c>
      <x:c r="J1374" s="88" t="str">
        <x:f>IF(C1374="","",F1374+G1374+H1374)</x:f>
      </x:c>
      <x:c r="K1374" s="88" t="str">
        <x:f>IF(C1374="","",MAX(0,SUMIFS(SONDERZAHLUNGEN!$E$9:$E$128,SONDERZAHLUNGEN!$B$9:$B$128,C1374,SONDERZAHLUNGEN!$C$9:$C$128,A1374,SONDERZAHLUNGEN!$H$9:$H$128,"OK",SONDERZAHLUNGEN!$F$9:$F$128,"Ja")-G1374))</x:f>
      </x:c>
    </x:row>
    <x:row r="1375" ht="19" customHeight="1">
      <x:c r="A1375" s="90" t="n">
        <x:f>MONATSBUDGET!$A$75</x:f>
        <x:v>48274</x:v>
      </x:c>
      <x:c r="B1375" t="n">
        <x:f>16</x:f>
        <x:v>16</x:v>
      </x:c>
      <x:c r="C1375" t="str">
        <x:f>IF($N$24="","",$N$24)</x:f>
      </x:c>
      <x:c r="D1375" s="88" t="str">
        <x:f>IF(C1375="","",I1355)</x:f>
      </x:c>
      <x:c r="E1375" s="88" t="str">
        <x:f>IF(C1375="","",ROUND(D1375*$P$24/12,2))</x:f>
      </x:c>
      <x:c r="F1375" s="88" t="str">
        <x:f>IF(C1375="","",MIN(D1375+E1375,$Q$24))</x:f>
      </x:c>
      <x:c r="G1375" s="88" t="str">
        <x:f>IF(C1375="","",MIN(MAX(0,D1375+E1375-F1375),SUMIFS(SONDERZAHLUNGEN!$E$9:$E$128,SONDERZAHLUNGEN!$B$9:$B$128,C1375,SONDERZAHLUNGEN!$C$9:$C$128,A1375,SONDERZAHLUNGEN!$H$9:$H$128,"OK",SONDERZAHLUNGEN!$F$9:$F$128,"Ja")))</x:f>
      </x:c>
      <x:c r="H1375" s="88" t="str">
        <x:f>IF(C1375="","",MIN(MAX(0,D1375+E1375-F1375-G1375),MAX(0,IF(MONATSBUDGET!$C$75="",0,MONATSBUDGET!$C$75)-SUM(F1360:F1379)-SUM(H1360:H1374))))</x:f>
      </x:c>
      <x:c r="I1375" s="88" t="str">
        <x:f>IF(C1375="","",MAX(0,ROUND(D1375+E1375-F1375-G1375-H1375,2)))</x:f>
      </x:c>
      <x:c r="J1375" s="88" t="str">
        <x:f>IF(C1375="","",F1375+G1375+H1375)</x:f>
      </x:c>
      <x:c r="K1375" s="88" t="str">
        <x:f>IF(C1375="","",MAX(0,SUMIFS(SONDERZAHLUNGEN!$E$9:$E$128,SONDERZAHLUNGEN!$B$9:$B$128,C1375,SONDERZAHLUNGEN!$C$9:$C$128,A1375,SONDERZAHLUNGEN!$H$9:$H$128,"OK",SONDERZAHLUNGEN!$F$9:$F$128,"Ja")-G1375))</x:f>
      </x:c>
    </x:row>
    <x:row r="1376" ht="19" customHeight="1">
      <x:c r="A1376" s="90" t="n">
        <x:f>MONATSBUDGET!$A$75</x:f>
        <x:v>48274</x:v>
      </x:c>
      <x:c r="B1376" t="n">
        <x:f>17</x:f>
        <x:v>17</x:v>
      </x:c>
      <x:c r="C1376" t="str">
        <x:f>IF($N$25="","",$N$25)</x:f>
      </x:c>
      <x:c r="D1376" s="88" t="str">
        <x:f>IF(C1376="","",I1356)</x:f>
      </x:c>
      <x:c r="E1376" s="88" t="str">
        <x:f>IF(C1376="","",ROUND(D1376*$P$25/12,2))</x:f>
      </x:c>
      <x:c r="F1376" s="88" t="str">
        <x:f>IF(C1376="","",MIN(D1376+E1376,$Q$25))</x:f>
      </x:c>
      <x:c r="G1376" s="88" t="str">
        <x:f>IF(C1376="","",MIN(MAX(0,D1376+E1376-F1376),SUMIFS(SONDERZAHLUNGEN!$E$9:$E$128,SONDERZAHLUNGEN!$B$9:$B$128,C1376,SONDERZAHLUNGEN!$C$9:$C$128,A1376,SONDERZAHLUNGEN!$H$9:$H$128,"OK",SONDERZAHLUNGEN!$F$9:$F$128,"Ja")))</x:f>
      </x:c>
      <x:c r="H1376" s="88" t="str">
        <x:f>IF(C1376="","",MIN(MAX(0,D1376+E1376-F1376-G1376),MAX(0,IF(MONATSBUDGET!$C$75="",0,MONATSBUDGET!$C$75)-SUM(F1360:F1379)-SUM(H1360:H1375))))</x:f>
      </x:c>
      <x:c r="I1376" s="88" t="str">
        <x:f>IF(C1376="","",MAX(0,ROUND(D1376+E1376-F1376-G1376-H1376,2)))</x:f>
      </x:c>
      <x:c r="J1376" s="88" t="str">
        <x:f>IF(C1376="","",F1376+G1376+H1376)</x:f>
      </x:c>
      <x:c r="K1376" s="88" t="str">
        <x:f>IF(C1376="","",MAX(0,SUMIFS(SONDERZAHLUNGEN!$E$9:$E$128,SONDERZAHLUNGEN!$B$9:$B$128,C1376,SONDERZAHLUNGEN!$C$9:$C$128,A1376,SONDERZAHLUNGEN!$H$9:$H$128,"OK",SONDERZAHLUNGEN!$F$9:$F$128,"Ja")-G1376))</x:f>
      </x:c>
    </x:row>
    <x:row r="1377" ht="19" customHeight="1">
      <x:c r="A1377" s="90" t="n">
        <x:f>MONATSBUDGET!$A$75</x:f>
        <x:v>48274</x:v>
      </x:c>
      <x:c r="B1377" t="n">
        <x:f>18</x:f>
        <x:v>18</x:v>
      </x:c>
      <x:c r="C1377" t="str">
        <x:f>IF($N$26="","",$N$26)</x:f>
      </x:c>
      <x:c r="D1377" s="88" t="str">
        <x:f>IF(C1377="","",I1357)</x:f>
      </x:c>
      <x:c r="E1377" s="88" t="str">
        <x:f>IF(C1377="","",ROUND(D1377*$P$26/12,2))</x:f>
      </x:c>
      <x:c r="F1377" s="88" t="str">
        <x:f>IF(C1377="","",MIN(D1377+E1377,$Q$26))</x:f>
      </x:c>
      <x:c r="G1377" s="88" t="str">
        <x:f>IF(C1377="","",MIN(MAX(0,D1377+E1377-F1377),SUMIFS(SONDERZAHLUNGEN!$E$9:$E$128,SONDERZAHLUNGEN!$B$9:$B$128,C1377,SONDERZAHLUNGEN!$C$9:$C$128,A1377,SONDERZAHLUNGEN!$H$9:$H$128,"OK",SONDERZAHLUNGEN!$F$9:$F$128,"Ja")))</x:f>
      </x:c>
      <x:c r="H1377" s="88" t="str">
        <x:f>IF(C1377="","",MIN(MAX(0,D1377+E1377-F1377-G1377),MAX(0,IF(MONATSBUDGET!$C$75="",0,MONATSBUDGET!$C$75)-SUM(F1360:F1379)-SUM(H1360:H1376))))</x:f>
      </x:c>
      <x:c r="I1377" s="88" t="str">
        <x:f>IF(C1377="","",MAX(0,ROUND(D1377+E1377-F1377-G1377-H1377,2)))</x:f>
      </x:c>
      <x:c r="J1377" s="88" t="str">
        <x:f>IF(C1377="","",F1377+G1377+H1377)</x:f>
      </x:c>
      <x:c r="K1377" s="88" t="str">
        <x:f>IF(C1377="","",MAX(0,SUMIFS(SONDERZAHLUNGEN!$E$9:$E$128,SONDERZAHLUNGEN!$B$9:$B$128,C1377,SONDERZAHLUNGEN!$C$9:$C$128,A1377,SONDERZAHLUNGEN!$H$9:$H$128,"OK",SONDERZAHLUNGEN!$F$9:$F$128,"Ja")-G1377))</x:f>
      </x:c>
    </x:row>
    <x:row r="1378" ht="19" customHeight="1">
      <x:c r="A1378" s="90" t="n">
        <x:f>MONATSBUDGET!$A$75</x:f>
        <x:v>48274</x:v>
      </x:c>
      <x:c r="B1378" t="n">
        <x:f>19</x:f>
        <x:v>19</x:v>
      </x:c>
      <x:c r="C1378" t="str">
        <x:f>IF($N$27="","",$N$27)</x:f>
      </x:c>
      <x:c r="D1378" s="88" t="str">
        <x:f>IF(C1378="","",I1358)</x:f>
      </x:c>
      <x:c r="E1378" s="88" t="str">
        <x:f>IF(C1378="","",ROUND(D1378*$P$27/12,2))</x:f>
      </x:c>
      <x:c r="F1378" s="88" t="str">
        <x:f>IF(C1378="","",MIN(D1378+E1378,$Q$27))</x:f>
      </x:c>
      <x:c r="G1378" s="88" t="str">
        <x:f>IF(C1378="","",MIN(MAX(0,D1378+E1378-F1378),SUMIFS(SONDERZAHLUNGEN!$E$9:$E$128,SONDERZAHLUNGEN!$B$9:$B$128,C1378,SONDERZAHLUNGEN!$C$9:$C$128,A1378,SONDERZAHLUNGEN!$H$9:$H$128,"OK",SONDERZAHLUNGEN!$F$9:$F$128,"Ja")))</x:f>
      </x:c>
      <x:c r="H1378" s="88" t="str">
        <x:f>IF(C1378="","",MIN(MAX(0,D1378+E1378-F1378-G1378),MAX(0,IF(MONATSBUDGET!$C$75="",0,MONATSBUDGET!$C$75)-SUM(F1360:F1379)-SUM(H1360:H1377))))</x:f>
      </x:c>
      <x:c r="I1378" s="88" t="str">
        <x:f>IF(C1378="","",MAX(0,ROUND(D1378+E1378-F1378-G1378-H1378,2)))</x:f>
      </x:c>
      <x:c r="J1378" s="88" t="str">
        <x:f>IF(C1378="","",F1378+G1378+H1378)</x:f>
      </x:c>
      <x:c r="K1378" s="88" t="str">
        <x:f>IF(C1378="","",MAX(0,SUMIFS(SONDERZAHLUNGEN!$E$9:$E$128,SONDERZAHLUNGEN!$B$9:$B$128,C1378,SONDERZAHLUNGEN!$C$9:$C$128,A1378,SONDERZAHLUNGEN!$H$9:$H$128,"OK",SONDERZAHLUNGEN!$F$9:$F$128,"Ja")-G1378))</x:f>
      </x:c>
    </x:row>
    <x:row r="1379" ht="19" customHeight="1">
      <x:c r="A1379" s="90" t="n">
        <x:f>MONATSBUDGET!$A$75</x:f>
        <x:v>48274</x:v>
      </x:c>
      <x:c r="B1379" t="n">
        <x:f>20</x:f>
        <x:v>20</x:v>
      </x:c>
      <x:c r="C1379" t="str">
        <x:f>IF($N$28="","",$N$28)</x:f>
      </x:c>
      <x:c r="D1379" s="88" t="str">
        <x:f>IF(C1379="","",I1359)</x:f>
      </x:c>
      <x:c r="E1379" s="88" t="str">
        <x:f>IF(C1379="","",ROUND(D1379*$P$28/12,2))</x:f>
      </x:c>
      <x:c r="F1379" s="88" t="str">
        <x:f>IF(C1379="","",MIN(D1379+E1379,$Q$28))</x:f>
      </x:c>
      <x:c r="G1379" s="88" t="str">
        <x:f>IF(C1379="","",MIN(MAX(0,D1379+E1379-F1379),SUMIFS(SONDERZAHLUNGEN!$E$9:$E$128,SONDERZAHLUNGEN!$B$9:$B$128,C1379,SONDERZAHLUNGEN!$C$9:$C$128,A1379,SONDERZAHLUNGEN!$H$9:$H$128,"OK",SONDERZAHLUNGEN!$F$9:$F$128,"Ja")))</x:f>
      </x:c>
      <x:c r="H1379" s="88" t="str">
        <x:f>IF(C1379="","",MIN(MAX(0,D1379+E1379-F1379-G1379),MAX(0,IF(MONATSBUDGET!$C$75="",0,MONATSBUDGET!$C$75)-SUM(F1360:F1379)-SUM(H1360:H1378))))</x:f>
      </x:c>
      <x:c r="I1379" s="88" t="str">
        <x:f>IF(C1379="","",MAX(0,ROUND(D1379+E1379-F1379-G1379-H1379,2)))</x:f>
      </x:c>
      <x:c r="J1379" s="88" t="str">
        <x:f>IF(C1379="","",F1379+G1379+H1379)</x:f>
      </x:c>
      <x:c r="K1379" s="88" t="str">
        <x:f>IF(C1379="","",MAX(0,SUMIFS(SONDERZAHLUNGEN!$E$9:$E$128,SONDERZAHLUNGEN!$B$9:$B$128,C1379,SONDERZAHLUNGEN!$C$9:$C$128,A1379,SONDERZAHLUNGEN!$H$9:$H$128,"OK",SONDERZAHLUNGEN!$F$9:$F$128,"Ja")-G1379))</x:f>
      </x:c>
    </x:row>
    <x:row r="1380" ht="19" customHeight="1">
      <x:c r="A1380" s="90" t="n">
        <x:f>MONATSBUDGET!$A$76</x:f>
        <x:v>48305</x:v>
      </x:c>
      <x:c r="B1380" t="n">
        <x:f>1</x:f>
        <x:v>1</x:v>
      </x:c>
      <x:c r="C1380" t="str">
        <x:f>IF($N$9="","",$N$9)</x:f>
      </x:c>
      <x:c r="D1380" s="88" t="str">
        <x:f>IF(C1380="","",I1360)</x:f>
      </x:c>
      <x:c r="E1380" s="88" t="str">
        <x:f>IF(C1380="","",ROUND(D1380*$P$9/12,2))</x:f>
      </x:c>
      <x:c r="F1380" s="88" t="str">
        <x:f>IF(C1380="","",MIN(D1380+E1380,$Q$9))</x:f>
      </x:c>
      <x:c r="G1380" s="88" t="str">
        <x:f>IF(C1380="","",MIN(MAX(0,D1380+E1380-F1380),SUMIFS(SONDERZAHLUNGEN!$E$9:$E$128,SONDERZAHLUNGEN!$B$9:$B$128,C1380,SONDERZAHLUNGEN!$C$9:$C$128,A1380,SONDERZAHLUNGEN!$H$9:$H$128,"OK",SONDERZAHLUNGEN!$F$9:$F$128,"Ja")))</x:f>
      </x:c>
      <x:c r="H1380" s="88" t="str">
        <x:f>IF(C1380="","",MIN(MAX(0,D1380+E1380-F1380-G1380),MAX(0,IF(MONATSBUDGET!$C$76="",0,MONATSBUDGET!$C$76)-SUM(F1380:F1399)-0)))</x:f>
      </x:c>
      <x:c r="I1380" s="88" t="str">
        <x:f>IF(C1380="","",MAX(0,ROUND(D1380+E1380-F1380-G1380-H1380,2)))</x:f>
      </x:c>
      <x:c r="J1380" s="88" t="str">
        <x:f>IF(C1380="","",F1380+G1380+H1380)</x:f>
      </x:c>
      <x:c r="K1380" s="88" t="str">
        <x:f>IF(C1380="","",MAX(0,SUMIFS(SONDERZAHLUNGEN!$E$9:$E$128,SONDERZAHLUNGEN!$B$9:$B$128,C1380,SONDERZAHLUNGEN!$C$9:$C$128,A1380,SONDERZAHLUNGEN!$H$9:$H$128,"OK",SONDERZAHLUNGEN!$F$9:$F$128,"Ja")-G1380))</x:f>
      </x:c>
    </x:row>
    <x:row r="1381" ht="19" customHeight="1">
      <x:c r="A1381" s="90" t="n">
        <x:f>MONATSBUDGET!$A$76</x:f>
        <x:v>48305</x:v>
      </x:c>
      <x:c r="B1381" t="n">
        <x:f>2</x:f>
        <x:v>2</x:v>
      </x:c>
      <x:c r="C1381" t="str">
        <x:f>IF($N$10="","",$N$10)</x:f>
      </x:c>
      <x:c r="D1381" s="88" t="str">
        <x:f>IF(C1381="","",I1361)</x:f>
      </x:c>
      <x:c r="E1381" s="88" t="str">
        <x:f>IF(C1381="","",ROUND(D1381*$P$10/12,2))</x:f>
      </x:c>
      <x:c r="F1381" s="88" t="str">
        <x:f>IF(C1381="","",MIN(D1381+E1381,$Q$10))</x:f>
      </x:c>
      <x:c r="G1381" s="88" t="str">
        <x:f>IF(C1381="","",MIN(MAX(0,D1381+E1381-F1381),SUMIFS(SONDERZAHLUNGEN!$E$9:$E$128,SONDERZAHLUNGEN!$B$9:$B$128,C1381,SONDERZAHLUNGEN!$C$9:$C$128,A1381,SONDERZAHLUNGEN!$H$9:$H$128,"OK",SONDERZAHLUNGEN!$F$9:$F$128,"Ja")))</x:f>
      </x:c>
      <x:c r="H1381" s="88" t="str">
        <x:f>IF(C1381="","",MIN(MAX(0,D1381+E1381-F1381-G1381),MAX(0,IF(MONATSBUDGET!$C$76="",0,MONATSBUDGET!$C$76)-SUM(F1380:F1399)-SUM(H1380:H1380))))</x:f>
      </x:c>
      <x:c r="I1381" s="88" t="str">
        <x:f>IF(C1381="","",MAX(0,ROUND(D1381+E1381-F1381-G1381-H1381,2)))</x:f>
      </x:c>
      <x:c r="J1381" s="88" t="str">
        <x:f>IF(C1381="","",F1381+G1381+H1381)</x:f>
      </x:c>
      <x:c r="K1381" s="88" t="str">
        <x:f>IF(C1381="","",MAX(0,SUMIFS(SONDERZAHLUNGEN!$E$9:$E$128,SONDERZAHLUNGEN!$B$9:$B$128,C1381,SONDERZAHLUNGEN!$C$9:$C$128,A1381,SONDERZAHLUNGEN!$H$9:$H$128,"OK",SONDERZAHLUNGEN!$F$9:$F$128,"Ja")-G1381))</x:f>
      </x:c>
    </x:row>
    <x:row r="1382" ht="19" customHeight="1">
      <x:c r="A1382" s="90" t="n">
        <x:f>MONATSBUDGET!$A$76</x:f>
        <x:v>48305</x:v>
      </x:c>
      <x:c r="B1382" t="n">
        <x:f>3</x:f>
        <x:v>3</x:v>
      </x:c>
      <x:c r="C1382" t="str">
        <x:f>IF($N$11="","",$N$11)</x:f>
      </x:c>
      <x:c r="D1382" s="88" t="str">
        <x:f>IF(C1382="","",I1362)</x:f>
      </x:c>
      <x:c r="E1382" s="88" t="str">
        <x:f>IF(C1382="","",ROUND(D1382*$P$11/12,2))</x:f>
      </x:c>
      <x:c r="F1382" s="88" t="str">
        <x:f>IF(C1382="","",MIN(D1382+E1382,$Q$11))</x:f>
      </x:c>
      <x:c r="G1382" s="88" t="str">
        <x:f>IF(C1382="","",MIN(MAX(0,D1382+E1382-F1382),SUMIFS(SONDERZAHLUNGEN!$E$9:$E$128,SONDERZAHLUNGEN!$B$9:$B$128,C1382,SONDERZAHLUNGEN!$C$9:$C$128,A1382,SONDERZAHLUNGEN!$H$9:$H$128,"OK",SONDERZAHLUNGEN!$F$9:$F$128,"Ja")))</x:f>
      </x:c>
      <x:c r="H1382" s="88" t="str">
        <x:f>IF(C1382="","",MIN(MAX(0,D1382+E1382-F1382-G1382),MAX(0,IF(MONATSBUDGET!$C$76="",0,MONATSBUDGET!$C$76)-SUM(F1380:F1399)-SUM(H1380:H1381))))</x:f>
      </x:c>
      <x:c r="I1382" s="88" t="str">
        <x:f>IF(C1382="","",MAX(0,ROUND(D1382+E1382-F1382-G1382-H1382,2)))</x:f>
      </x:c>
      <x:c r="J1382" s="88" t="str">
        <x:f>IF(C1382="","",F1382+G1382+H1382)</x:f>
      </x:c>
      <x:c r="K1382" s="88" t="str">
        <x:f>IF(C1382="","",MAX(0,SUMIFS(SONDERZAHLUNGEN!$E$9:$E$128,SONDERZAHLUNGEN!$B$9:$B$128,C1382,SONDERZAHLUNGEN!$C$9:$C$128,A1382,SONDERZAHLUNGEN!$H$9:$H$128,"OK",SONDERZAHLUNGEN!$F$9:$F$128,"Ja")-G1382))</x:f>
      </x:c>
    </x:row>
    <x:row r="1383" ht="19" customHeight="1">
      <x:c r="A1383" s="90" t="n">
        <x:f>MONATSBUDGET!$A$76</x:f>
        <x:v>48305</x:v>
      </x:c>
      <x:c r="B1383" t="n">
        <x:f>4</x:f>
        <x:v>4</x:v>
      </x:c>
      <x:c r="C1383" t="str">
        <x:f>IF($N$12="","",$N$12)</x:f>
      </x:c>
      <x:c r="D1383" s="88" t="str">
        <x:f>IF(C1383="","",I1363)</x:f>
      </x:c>
      <x:c r="E1383" s="88" t="str">
        <x:f>IF(C1383="","",ROUND(D1383*$P$12/12,2))</x:f>
      </x:c>
      <x:c r="F1383" s="88" t="str">
        <x:f>IF(C1383="","",MIN(D1383+E1383,$Q$12))</x:f>
      </x:c>
      <x:c r="G1383" s="88" t="str">
        <x:f>IF(C1383="","",MIN(MAX(0,D1383+E1383-F1383),SUMIFS(SONDERZAHLUNGEN!$E$9:$E$128,SONDERZAHLUNGEN!$B$9:$B$128,C1383,SONDERZAHLUNGEN!$C$9:$C$128,A1383,SONDERZAHLUNGEN!$H$9:$H$128,"OK",SONDERZAHLUNGEN!$F$9:$F$128,"Ja")))</x:f>
      </x:c>
      <x:c r="H1383" s="88" t="str">
        <x:f>IF(C1383="","",MIN(MAX(0,D1383+E1383-F1383-G1383),MAX(0,IF(MONATSBUDGET!$C$76="",0,MONATSBUDGET!$C$76)-SUM(F1380:F1399)-SUM(H1380:H1382))))</x:f>
      </x:c>
      <x:c r="I1383" s="88" t="str">
        <x:f>IF(C1383="","",MAX(0,ROUND(D1383+E1383-F1383-G1383-H1383,2)))</x:f>
      </x:c>
      <x:c r="J1383" s="88" t="str">
        <x:f>IF(C1383="","",F1383+G1383+H1383)</x:f>
      </x:c>
      <x:c r="K1383" s="88" t="str">
        <x:f>IF(C1383="","",MAX(0,SUMIFS(SONDERZAHLUNGEN!$E$9:$E$128,SONDERZAHLUNGEN!$B$9:$B$128,C1383,SONDERZAHLUNGEN!$C$9:$C$128,A1383,SONDERZAHLUNGEN!$H$9:$H$128,"OK",SONDERZAHLUNGEN!$F$9:$F$128,"Ja")-G1383))</x:f>
      </x:c>
    </x:row>
    <x:row r="1384" ht="19" customHeight="1">
      <x:c r="A1384" s="90" t="n">
        <x:f>MONATSBUDGET!$A$76</x:f>
        <x:v>48305</x:v>
      </x:c>
      <x:c r="B1384" t="n">
        <x:f>5</x:f>
        <x:v>5</x:v>
      </x:c>
      <x:c r="C1384" t="str">
        <x:f>IF($N$13="","",$N$13)</x:f>
      </x:c>
      <x:c r="D1384" s="88" t="str">
        <x:f>IF(C1384="","",I1364)</x:f>
      </x:c>
      <x:c r="E1384" s="88" t="str">
        <x:f>IF(C1384="","",ROUND(D1384*$P$13/12,2))</x:f>
      </x:c>
      <x:c r="F1384" s="88" t="str">
        <x:f>IF(C1384="","",MIN(D1384+E1384,$Q$13))</x:f>
      </x:c>
      <x:c r="G1384" s="88" t="str">
        <x:f>IF(C1384="","",MIN(MAX(0,D1384+E1384-F1384),SUMIFS(SONDERZAHLUNGEN!$E$9:$E$128,SONDERZAHLUNGEN!$B$9:$B$128,C1384,SONDERZAHLUNGEN!$C$9:$C$128,A1384,SONDERZAHLUNGEN!$H$9:$H$128,"OK",SONDERZAHLUNGEN!$F$9:$F$128,"Ja")))</x:f>
      </x:c>
      <x:c r="H1384" s="88" t="str">
        <x:f>IF(C1384="","",MIN(MAX(0,D1384+E1384-F1384-G1384),MAX(0,IF(MONATSBUDGET!$C$76="",0,MONATSBUDGET!$C$76)-SUM(F1380:F1399)-SUM(H1380:H1383))))</x:f>
      </x:c>
      <x:c r="I1384" s="88" t="str">
        <x:f>IF(C1384="","",MAX(0,ROUND(D1384+E1384-F1384-G1384-H1384,2)))</x:f>
      </x:c>
      <x:c r="J1384" s="88" t="str">
        <x:f>IF(C1384="","",F1384+G1384+H1384)</x:f>
      </x:c>
      <x:c r="K1384" s="88" t="str">
        <x:f>IF(C1384="","",MAX(0,SUMIFS(SONDERZAHLUNGEN!$E$9:$E$128,SONDERZAHLUNGEN!$B$9:$B$128,C1384,SONDERZAHLUNGEN!$C$9:$C$128,A1384,SONDERZAHLUNGEN!$H$9:$H$128,"OK",SONDERZAHLUNGEN!$F$9:$F$128,"Ja")-G1384))</x:f>
      </x:c>
    </x:row>
    <x:row r="1385" ht="19" customHeight="1">
      <x:c r="A1385" s="90" t="n">
        <x:f>MONATSBUDGET!$A$76</x:f>
        <x:v>48305</x:v>
      </x:c>
      <x:c r="B1385" t="n">
        <x:f>6</x:f>
        <x:v>6</x:v>
      </x:c>
      <x:c r="C1385" t="str">
        <x:f>IF($N$14="","",$N$14)</x:f>
      </x:c>
      <x:c r="D1385" s="88" t="str">
        <x:f>IF(C1385="","",I1365)</x:f>
      </x:c>
      <x:c r="E1385" s="88" t="str">
        <x:f>IF(C1385="","",ROUND(D1385*$P$14/12,2))</x:f>
      </x:c>
      <x:c r="F1385" s="88" t="str">
        <x:f>IF(C1385="","",MIN(D1385+E1385,$Q$14))</x:f>
      </x:c>
      <x:c r="G1385" s="88" t="str">
        <x:f>IF(C1385="","",MIN(MAX(0,D1385+E1385-F1385),SUMIFS(SONDERZAHLUNGEN!$E$9:$E$128,SONDERZAHLUNGEN!$B$9:$B$128,C1385,SONDERZAHLUNGEN!$C$9:$C$128,A1385,SONDERZAHLUNGEN!$H$9:$H$128,"OK",SONDERZAHLUNGEN!$F$9:$F$128,"Ja")))</x:f>
      </x:c>
      <x:c r="H1385" s="88" t="str">
        <x:f>IF(C1385="","",MIN(MAX(0,D1385+E1385-F1385-G1385),MAX(0,IF(MONATSBUDGET!$C$76="",0,MONATSBUDGET!$C$76)-SUM(F1380:F1399)-SUM(H1380:H1384))))</x:f>
      </x:c>
      <x:c r="I1385" s="88" t="str">
        <x:f>IF(C1385="","",MAX(0,ROUND(D1385+E1385-F1385-G1385-H1385,2)))</x:f>
      </x:c>
      <x:c r="J1385" s="88" t="str">
        <x:f>IF(C1385="","",F1385+G1385+H1385)</x:f>
      </x:c>
      <x:c r="K1385" s="88" t="str">
        <x:f>IF(C1385="","",MAX(0,SUMIFS(SONDERZAHLUNGEN!$E$9:$E$128,SONDERZAHLUNGEN!$B$9:$B$128,C1385,SONDERZAHLUNGEN!$C$9:$C$128,A1385,SONDERZAHLUNGEN!$H$9:$H$128,"OK",SONDERZAHLUNGEN!$F$9:$F$128,"Ja")-G1385))</x:f>
      </x:c>
    </x:row>
    <x:row r="1386" ht="19" customHeight="1">
      <x:c r="A1386" s="90" t="n">
        <x:f>MONATSBUDGET!$A$76</x:f>
        <x:v>48305</x:v>
      </x:c>
      <x:c r="B1386" t="n">
        <x:f>7</x:f>
        <x:v>7</x:v>
      </x:c>
      <x:c r="C1386" t="str">
        <x:f>IF($N$15="","",$N$15)</x:f>
      </x:c>
      <x:c r="D1386" s="88" t="str">
        <x:f>IF(C1386="","",I1366)</x:f>
      </x:c>
      <x:c r="E1386" s="88" t="str">
        <x:f>IF(C1386="","",ROUND(D1386*$P$15/12,2))</x:f>
      </x:c>
      <x:c r="F1386" s="88" t="str">
        <x:f>IF(C1386="","",MIN(D1386+E1386,$Q$15))</x:f>
      </x:c>
      <x:c r="G1386" s="88" t="str">
        <x:f>IF(C1386="","",MIN(MAX(0,D1386+E1386-F1386),SUMIFS(SONDERZAHLUNGEN!$E$9:$E$128,SONDERZAHLUNGEN!$B$9:$B$128,C1386,SONDERZAHLUNGEN!$C$9:$C$128,A1386,SONDERZAHLUNGEN!$H$9:$H$128,"OK",SONDERZAHLUNGEN!$F$9:$F$128,"Ja")))</x:f>
      </x:c>
      <x:c r="H1386" s="88" t="str">
        <x:f>IF(C1386="","",MIN(MAX(0,D1386+E1386-F1386-G1386),MAX(0,IF(MONATSBUDGET!$C$76="",0,MONATSBUDGET!$C$76)-SUM(F1380:F1399)-SUM(H1380:H1385))))</x:f>
      </x:c>
      <x:c r="I1386" s="88" t="str">
        <x:f>IF(C1386="","",MAX(0,ROUND(D1386+E1386-F1386-G1386-H1386,2)))</x:f>
      </x:c>
      <x:c r="J1386" s="88" t="str">
        <x:f>IF(C1386="","",F1386+G1386+H1386)</x:f>
      </x:c>
      <x:c r="K1386" s="88" t="str">
        <x:f>IF(C1386="","",MAX(0,SUMIFS(SONDERZAHLUNGEN!$E$9:$E$128,SONDERZAHLUNGEN!$B$9:$B$128,C1386,SONDERZAHLUNGEN!$C$9:$C$128,A1386,SONDERZAHLUNGEN!$H$9:$H$128,"OK",SONDERZAHLUNGEN!$F$9:$F$128,"Ja")-G1386))</x:f>
      </x:c>
    </x:row>
    <x:row r="1387" ht="19" customHeight="1">
      <x:c r="A1387" s="90" t="n">
        <x:f>MONATSBUDGET!$A$76</x:f>
        <x:v>48305</x:v>
      </x:c>
      <x:c r="B1387" t="n">
        <x:f>8</x:f>
        <x:v>8</x:v>
      </x:c>
      <x:c r="C1387" t="str">
        <x:f>IF($N$16="","",$N$16)</x:f>
      </x:c>
      <x:c r="D1387" s="88" t="str">
        <x:f>IF(C1387="","",I1367)</x:f>
      </x:c>
      <x:c r="E1387" s="88" t="str">
        <x:f>IF(C1387="","",ROUND(D1387*$P$16/12,2))</x:f>
      </x:c>
      <x:c r="F1387" s="88" t="str">
        <x:f>IF(C1387="","",MIN(D1387+E1387,$Q$16))</x:f>
      </x:c>
      <x:c r="G1387" s="88" t="str">
        <x:f>IF(C1387="","",MIN(MAX(0,D1387+E1387-F1387),SUMIFS(SONDERZAHLUNGEN!$E$9:$E$128,SONDERZAHLUNGEN!$B$9:$B$128,C1387,SONDERZAHLUNGEN!$C$9:$C$128,A1387,SONDERZAHLUNGEN!$H$9:$H$128,"OK",SONDERZAHLUNGEN!$F$9:$F$128,"Ja")))</x:f>
      </x:c>
      <x:c r="H1387" s="88" t="str">
        <x:f>IF(C1387="","",MIN(MAX(0,D1387+E1387-F1387-G1387),MAX(0,IF(MONATSBUDGET!$C$76="",0,MONATSBUDGET!$C$76)-SUM(F1380:F1399)-SUM(H1380:H1386))))</x:f>
      </x:c>
      <x:c r="I1387" s="88" t="str">
        <x:f>IF(C1387="","",MAX(0,ROUND(D1387+E1387-F1387-G1387-H1387,2)))</x:f>
      </x:c>
      <x:c r="J1387" s="88" t="str">
        <x:f>IF(C1387="","",F1387+G1387+H1387)</x:f>
      </x:c>
      <x:c r="K1387" s="88" t="str">
        <x:f>IF(C1387="","",MAX(0,SUMIFS(SONDERZAHLUNGEN!$E$9:$E$128,SONDERZAHLUNGEN!$B$9:$B$128,C1387,SONDERZAHLUNGEN!$C$9:$C$128,A1387,SONDERZAHLUNGEN!$H$9:$H$128,"OK",SONDERZAHLUNGEN!$F$9:$F$128,"Ja")-G1387))</x:f>
      </x:c>
    </x:row>
    <x:row r="1388" ht="19" customHeight="1">
      <x:c r="A1388" s="90" t="n">
        <x:f>MONATSBUDGET!$A$76</x:f>
        <x:v>48305</x:v>
      </x:c>
      <x:c r="B1388" t="n">
        <x:f>9</x:f>
        <x:v>9</x:v>
      </x:c>
      <x:c r="C1388" t="str">
        <x:f>IF($N$17="","",$N$17)</x:f>
      </x:c>
      <x:c r="D1388" s="88" t="str">
        <x:f>IF(C1388="","",I1368)</x:f>
      </x:c>
      <x:c r="E1388" s="88" t="str">
        <x:f>IF(C1388="","",ROUND(D1388*$P$17/12,2))</x:f>
      </x:c>
      <x:c r="F1388" s="88" t="str">
        <x:f>IF(C1388="","",MIN(D1388+E1388,$Q$17))</x:f>
      </x:c>
      <x:c r="G1388" s="88" t="str">
        <x:f>IF(C1388="","",MIN(MAX(0,D1388+E1388-F1388),SUMIFS(SONDERZAHLUNGEN!$E$9:$E$128,SONDERZAHLUNGEN!$B$9:$B$128,C1388,SONDERZAHLUNGEN!$C$9:$C$128,A1388,SONDERZAHLUNGEN!$H$9:$H$128,"OK",SONDERZAHLUNGEN!$F$9:$F$128,"Ja")))</x:f>
      </x:c>
      <x:c r="H1388" s="88" t="str">
        <x:f>IF(C1388="","",MIN(MAX(0,D1388+E1388-F1388-G1388),MAX(0,IF(MONATSBUDGET!$C$76="",0,MONATSBUDGET!$C$76)-SUM(F1380:F1399)-SUM(H1380:H1387))))</x:f>
      </x:c>
      <x:c r="I1388" s="88" t="str">
        <x:f>IF(C1388="","",MAX(0,ROUND(D1388+E1388-F1388-G1388-H1388,2)))</x:f>
      </x:c>
      <x:c r="J1388" s="88" t="str">
        <x:f>IF(C1388="","",F1388+G1388+H1388)</x:f>
      </x:c>
      <x:c r="K1388" s="88" t="str">
        <x:f>IF(C1388="","",MAX(0,SUMIFS(SONDERZAHLUNGEN!$E$9:$E$128,SONDERZAHLUNGEN!$B$9:$B$128,C1388,SONDERZAHLUNGEN!$C$9:$C$128,A1388,SONDERZAHLUNGEN!$H$9:$H$128,"OK",SONDERZAHLUNGEN!$F$9:$F$128,"Ja")-G1388))</x:f>
      </x:c>
    </x:row>
    <x:row r="1389" ht="19" customHeight="1">
      <x:c r="A1389" s="90" t="n">
        <x:f>MONATSBUDGET!$A$76</x:f>
        <x:v>48305</x:v>
      </x:c>
      <x:c r="B1389" t="n">
        <x:f>10</x:f>
        <x:v>10</x:v>
      </x:c>
      <x:c r="C1389" t="str">
        <x:f>IF($N$18="","",$N$18)</x:f>
      </x:c>
      <x:c r="D1389" s="88" t="str">
        <x:f>IF(C1389="","",I1369)</x:f>
      </x:c>
      <x:c r="E1389" s="88" t="str">
        <x:f>IF(C1389="","",ROUND(D1389*$P$18/12,2))</x:f>
      </x:c>
      <x:c r="F1389" s="88" t="str">
        <x:f>IF(C1389="","",MIN(D1389+E1389,$Q$18))</x:f>
      </x:c>
      <x:c r="G1389" s="88" t="str">
        <x:f>IF(C1389="","",MIN(MAX(0,D1389+E1389-F1389),SUMIFS(SONDERZAHLUNGEN!$E$9:$E$128,SONDERZAHLUNGEN!$B$9:$B$128,C1389,SONDERZAHLUNGEN!$C$9:$C$128,A1389,SONDERZAHLUNGEN!$H$9:$H$128,"OK",SONDERZAHLUNGEN!$F$9:$F$128,"Ja")))</x:f>
      </x:c>
      <x:c r="H1389" s="88" t="str">
        <x:f>IF(C1389="","",MIN(MAX(0,D1389+E1389-F1389-G1389),MAX(0,IF(MONATSBUDGET!$C$76="",0,MONATSBUDGET!$C$76)-SUM(F1380:F1399)-SUM(H1380:H1388))))</x:f>
      </x:c>
      <x:c r="I1389" s="88" t="str">
        <x:f>IF(C1389="","",MAX(0,ROUND(D1389+E1389-F1389-G1389-H1389,2)))</x:f>
      </x:c>
      <x:c r="J1389" s="88" t="str">
        <x:f>IF(C1389="","",F1389+G1389+H1389)</x:f>
      </x:c>
      <x:c r="K1389" s="88" t="str">
        <x:f>IF(C1389="","",MAX(0,SUMIFS(SONDERZAHLUNGEN!$E$9:$E$128,SONDERZAHLUNGEN!$B$9:$B$128,C1389,SONDERZAHLUNGEN!$C$9:$C$128,A1389,SONDERZAHLUNGEN!$H$9:$H$128,"OK",SONDERZAHLUNGEN!$F$9:$F$128,"Ja")-G1389))</x:f>
      </x:c>
    </x:row>
    <x:row r="1390" ht="19" customHeight="1">
      <x:c r="A1390" s="90" t="n">
        <x:f>MONATSBUDGET!$A$76</x:f>
        <x:v>48305</x:v>
      </x:c>
      <x:c r="B1390" t="n">
        <x:f>11</x:f>
        <x:v>11</x:v>
      </x:c>
      <x:c r="C1390" t="str">
        <x:f>IF($N$19="","",$N$19)</x:f>
      </x:c>
      <x:c r="D1390" s="88" t="str">
        <x:f>IF(C1390="","",I1370)</x:f>
      </x:c>
      <x:c r="E1390" s="88" t="str">
        <x:f>IF(C1390="","",ROUND(D1390*$P$19/12,2))</x:f>
      </x:c>
      <x:c r="F1390" s="88" t="str">
        <x:f>IF(C1390="","",MIN(D1390+E1390,$Q$19))</x:f>
      </x:c>
      <x:c r="G1390" s="88" t="str">
        <x:f>IF(C1390="","",MIN(MAX(0,D1390+E1390-F1390),SUMIFS(SONDERZAHLUNGEN!$E$9:$E$128,SONDERZAHLUNGEN!$B$9:$B$128,C1390,SONDERZAHLUNGEN!$C$9:$C$128,A1390,SONDERZAHLUNGEN!$H$9:$H$128,"OK",SONDERZAHLUNGEN!$F$9:$F$128,"Ja")))</x:f>
      </x:c>
      <x:c r="H1390" s="88" t="str">
        <x:f>IF(C1390="","",MIN(MAX(0,D1390+E1390-F1390-G1390),MAX(0,IF(MONATSBUDGET!$C$76="",0,MONATSBUDGET!$C$76)-SUM(F1380:F1399)-SUM(H1380:H1389))))</x:f>
      </x:c>
      <x:c r="I1390" s="88" t="str">
        <x:f>IF(C1390="","",MAX(0,ROUND(D1390+E1390-F1390-G1390-H1390,2)))</x:f>
      </x:c>
      <x:c r="J1390" s="88" t="str">
        <x:f>IF(C1390="","",F1390+G1390+H1390)</x:f>
      </x:c>
      <x:c r="K1390" s="88" t="str">
        <x:f>IF(C1390="","",MAX(0,SUMIFS(SONDERZAHLUNGEN!$E$9:$E$128,SONDERZAHLUNGEN!$B$9:$B$128,C1390,SONDERZAHLUNGEN!$C$9:$C$128,A1390,SONDERZAHLUNGEN!$H$9:$H$128,"OK",SONDERZAHLUNGEN!$F$9:$F$128,"Ja")-G1390))</x:f>
      </x:c>
    </x:row>
    <x:row r="1391" ht="19" customHeight="1">
      <x:c r="A1391" s="90" t="n">
        <x:f>MONATSBUDGET!$A$76</x:f>
        <x:v>48305</x:v>
      </x:c>
      <x:c r="B1391" t="n">
        <x:f>12</x:f>
        <x:v>12</x:v>
      </x:c>
      <x:c r="C1391" t="str">
        <x:f>IF($N$20="","",$N$20)</x:f>
      </x:c>
      <x:c r="D1391" s="88" t="str">
        <x:f>IF(C1391="","",I1371)</x:f>
      </x:c>
      <x:c r="E1391" s="88" t="str">
        <x:f>IF(C1391="","",ROUND(D1391*$P$20/12,2))</x:f>
      </x:c>
      <x:c r="F1391" s="88" t="str">
        <x:f>IF(C1391="","",MIN(D1391+E1391,$Q$20))</x:f>
      </x:c>
      <x:c r="G1391" s="88" t="str">
        <x:f>IF(C1391="","",MIN(MAX(0,D1391+E1391-F1391),SUMIFS(SONDERZAHLUNGEN!$E$9:$E$128,SONDERZAHLUNGEN!$B$9:$B$128,C1391,SONDERZAHLUNGEN!$C$9:$C$128,A1391,SONDERZAHLUNGEN!$H$9:$H$128,"OK",SONDERZAHLUNGEN!$F$9:$F$128,"Ja")))</x:f>
      </x:c>
      <x:c r="H1391" s="88" t="str">
        <x:f>IF(C1391="","",MIN(MAX(0,D1391+E1391-F1391-G1391),MAX(0,IF(MONATSBUDGET!$C$76="",0,MONATSBUDGET!$C$76)-SUM(F1380:F1399)-SUM(H1380:H1390))))</x:f>
      </x:c>
      <x:c r="I1391" s="88" t="str">
        <x:f>IF(C1391="","",MAX(0,ROUND(D1391+E1391-F1391-G1391-H1391,2)))</x:f>
      </x:c>
      <x:c r="J1391" s="88" t="str">
        <x:f>IF(C1391="","",F1391+G1391+H1391)</x:f>
      </x:c>
      <x:c r="K1391" s="88" t="str">
        <x:f>IF(C1391="","",MAX(0,SUMIFS(SONDERZAHLUNGEN!$E$9:$E$128,SONDERZAHLUNGEN!$B$9:$B$128,C1391,SONDERZAHLUNGEN!$C$9:$C$128,A1391,SONDERZAHLUNGEN!$H$9:$H$128,"OK",SONDERZAHLUNGEN!$F$9:$F$128,"Ja")-G1391))</x:f>
      </x:c>
    </x:row>
    <x:row r="1392" ht="19" customHeight="1">
      <x:c r="A1392" s="90" t="n">
        <x:f>MONATSBUDGET!$A$76</x:f>
        <x:v>48305</x:v>
      </x:c>
      <x:c r="B1392" t="n">
        <x:f>13</x:f>
        <x:v>13</x:v>
      </x:c>
      <x:c r="C1392" t="str">
        <x:f>IF($N$21="","",$N$21)</x:f>
      </x:c>
      <x:c r="D1392" s="88" t="str">
        <x:f>IF(C1392="","",I1372)</x:f>
      </x:c>
      <x:c r="E1392" s="88" t="str">
        <x:f>IF(C1392="","",ROUND(D1392*$P$21/12,2))</x:f>
      </x:c>
      <x:c r="F1392" s="88" t="str">
        <x:f>IF(C1392="","",MIN(D1392+E1392,$Q$21))</x:f>
      </x:c>
      <x:c r="G1392" s="88" t="str">
        <x:f>IF(C1392="","",MIN(MAX(0,D1392+E1392-F1392),SUMIFS(SONDERZAHLUNGEN!$E$9:$E$128,SONDERZAHLUNGEN!$B$9:$B$128,C1392,SONDERZAHLUNGEN!$C$9:$C$128,A1392,SONDERZAHLUNGEN!$H$9:$H$128,"OK",SONDERZAHLUNGEN!$F$9:$F$128,"Ja")))</x:f>
      </x:c>
      <x:c r="H1392" s="88" t="str">
        <x:f>IF(C1392="","",MIN(MAX(0,D1392+E1392-F1392-G1392),MAX(0,IF(MONATSBUDGET!$C$76="",0,MONATSBUDGET!$C$76)-SUM(F1380:F1399)-SUM(H1380:H1391))))</x:f>
      </x:c>
      <x:c r="I1392" s="88" t="str">
        <x:f>IF(C1392="","",MAX(0,ROUND(D1392+E1392-F1392-G1392-H1392,2)))</x:f>
      </x:c>
      <x:c r="J1392" s="88" t="str">
        <x:f>IF(C1392="","",F1392+G1392+H1392)</x:f>
      </x:c>
      <x:c r="K1392" s="88" t="str">
        <x:f>IF(C1392="","",MAX(0,SUMIFS(SONDERZAHLUNGEN!$E$9:$E$128,SONDERZAHLUNGEN!$B$9:$B$128,C1392,SONDERZAHLUNGEN!$C$9:$C$128,A1392,SONDERZAHLUNGEN!$H$9:$H$128,"OK",SONDERZAHLUNGEN!$F$9:$F$128,"Ja")-G1392))</x:f>
      </x:c>
    </x:row>
    <x:row r="1393" ht="19" customHeight="1">
      <x:c r="A1393" s="90" t="n">
        <x:f>MONATSBUDGET!$A$76</x:f>
        <x:v>48305</x:v>
      </x:c>
      <x:c r="B1393" t="n">
        <x:f>14</x:f>
        <x:v>14</x:v>
      </x:c>
      <x:c r="C1393" t="str">
        <x:f>IF($N$22="","",$N$22)</x:f>
      </x:c>
      <x:c r="D1393" s="88" t="str">
        <x:f>IF(C1393="","",I1373)</x:f>
      </x:c>
      <x:c r="E1393" s="88" t="str">
        <x:f>IF(C1393="","",ROUND(D1393*$P$22/12,2))</x:f>
      </x:c>
      <x:c r="F1393" s="88" t="str">
        <x:f>IF(C1393="","",MIN(D1393+E1393,$Q$22))</x:f>
      </x:c>
      <x:c r="G1393" s="88" t="str">
        <x:f>IF(C1393="","",MIN(MAX(0,D1393+E1393-F1393),SUMIFS(SONDERZAHLUNGEN!$E$9:$E$128,SONDERZAHLUNGEN!$B$9:$B$128,C1393,SONDERZAHLUNGEN!$C$9:$C$128,A1393,SONDERZAHLUNGEN!$H$9:$H$128,"OK",SONDERZAHLUNGEN!$F$9:$F$128,"Ja")))</x:f>
      </x:c>
      <x:c r="H1393" s="88" t="str">
        <x:f>IF(C1393="","",MIN(MAX(0,D1393+E1393-F1393-G1393),MAX(0,IF(MONATSBUDGET!$C$76="",0,MONATSBUDGET!$C$76)-SUM(F1380:F1399)-SUM(H1380:H1392))))</x:f>
      </x:c>
      <x:c r="I1393" s="88" t="str">
        <x:f>IF(C1393="","",MAX(0,ROUND(D1393+E1393-F1393-G1393-H1393,2)))</x:f>
      </x:c>
      <x:c r="J1393" s="88" t="str">
        <x:f>IF(C1393="","",F1393+G1393+H1393)</x:f>
      </x:c>
      <x:c r="K1393" s="88" t="str">
        <x:f>IF(C1393="","",MAX(0,SUMIFS(SONDERZAHLUNGEN!$E$9:$E$128,SONDERZAHLUNGEN!$B$9:$B$128,C1393,SONDERZAHLUNGEN!$C$9:$C$128,A1393,SONDERZAHLUNGEN!$H$9:$H$128,"OK",SONDERZAHLUNGEN!$F$9:$F$128,"Ja")-G1393))</x:f>
      </x:c>
    </x:row>
    <x:row r="1394" ht="19" customHeight="1">
      <x:c r="A1394" s="90" t="n">
        <x:f>MONATSBUDGET!$A$76</x:f>
        <x:v>48305</x:v>
      </x:c>
      <x:c r="B1394" t="n">
        <x:f>15</x:f>
        <x:v>15</x:v>
      </x:c>
      <x:c r="C1394" t="str">
        <x:f>IF($N$23="","",$N$23)</x:f>
      </x:c>
      <x:c r="D1394" s="88" t="str">
        <x:f>IF(C1394="","",I1374)</x:f>
      </x:c>
      <x:c r="E1394" s="88" t="str">
        <x:f>IF(C1394="","",ROUND(D1394*$P$23/12,2))</x:f>
      </x:c>
      <x:c r="F1394" s="88" t="str">
        <x:f>IF(C1394="","",MIN(D1394+E1394,$Q$23))</x:f>
      </x:c>
      <x:c r="G1394" s="88" t="str">
        <x:f>IF(C1394="","",MIN(MAX(0,D1394+E1394-F1394),SUMIFS(SONDERZAHLUNGEN!$E$9:$E$128,SONDERZAHLUNGEN!$B$9:$B$128,C1394,SONDERZAHLUNGEN!$C$9:$C$128,A1394,SONDERZAHLUNGEN!$H$9:$H$128,"OK",SONDERZAHLUNGEN!$F$9:$F$128,"Ja")))</x:f>
      </x:c>
      <x:c r="H1394" s="88" t="str">
        <x:f>IF(C1394="","",MIN(MAX(0,D1394+E1394-F1394-G1394),MAX(0,IF(MONATSBUDGET!$C$76="",0,MONATSBUDGET!$C$76)-SUM(F1380:F1399)-SUM(H1380:H1393))))</x:f>
      </x:c>
      <x:c r="I1394" s="88" t="str">
        <x:f>IF(C1394="","",MAX(0,ROUND(D1394+E1394-F1394-G1394-H1394,2)))</x:f>
      </x:c>
      <x:c r="J1394" s="88" t="str">
        <x:f>IF(C1394="","",F1394+G1394+H1394)</x:f>
      </x:c>
      <x:c r="K1394" s="88" t="str">
        <x:f>IF(C1394="","",MAX(0,SUMIFS(SONDERZAHLUNGEN!$E$9:$E$128,SONDERZAHLUNGEN!$B$9:$B$128,C1394,SONDERZAHLUNGEN!$C$9:$C$128,A1394,SONDERZAHLUNGEN!$H$9:$H$128,"OK",SONDERZAHLUNGEN!$F$9:$F$128,"Ja")-G1394))</x:f>
      </x:c>
    </x:row>
    <x:row r="1395" ht="19" customHeight="1">
      <x:c r="A1395" s="90" t="n">
        <x:f>MONATSBUDGET!$A$76</x:f>
        <x:v>48305</x:v>
      </x:c>
      <x:c r="B1395" t="n">
        <x:f>16</x:f>
        <x:v>16</x:v>
      </x:c>
      <x:c r="C1395" t="str">
        <x:f>IF($N$24="","",$N$24)</x:f>
      </x:c>
      <x:c r="D1395" s="88" t="str">
        <x:f>IF(C1395="","",I1375)</x:f>
      </x:c>
      <x:c r="E1395" s="88" t="str">
        <x:f>IF(C1395="","",ROUND(D1395*$P$24/12,2))</x:f>
      </x:c>
      <x:c r="F1395" s="88" t="str">
        <x:f>IF(C1395="","",MIN(D1395+E1395,$Q$24))</x:f>
      </x:c>
      <x:c r="G1395" s="88" t="str">
        <x:f>IF(C1395="","",MIN(MAX(0,D1395+E1395-F1395),SUMIFS(SONDERZAHLUNGEN!$E$9:$E$128,SONDERZAHLUNGEN!$B$9:$B$128,C1395,SONDERZAHLUNGEN!$C$9:$C$128,A1395,SONDERZAHLUNGEN!$H$9:$H$128,"OK",SONDERZAHLUNGEN!$F$9:$F$128,"Ja")))</x:f>
      </x:c>
      <x:c r="H1395" s="88" t="str">
        <x:f>IF(C1395="","",MIN(MAX(0,D1395+E1395-F1395-G1395),MAX(0,IF(MONATSBUDGET!$C$76="",0,MONATSBUDGET!$C$76)-SUM(F1380:F1399)-SUM(H1380:H1394))))</x:f>
      </x:c>
      <x:c r="I1395" s="88" t="str">
        <x:f>IF(C1395="","",MAX(0,ROUND(D1395+E1395-F1395-G1395-H1395,2)))</x:f>
      </x:c>
      <x:c r="J1395" s="88" t="str">
        <x:f>IF(C1395="","",F1395+G1395+H1395)</x:f>
      </x:c>
      <x:c r="K1395" s="88" t="str">
        <x:f>IF(C1395="","",MAX(0,SUMIFS(SONDERZAHLUNGEN!$E$9:$E$128,SONDERZAHLUNGEN!$B$9:$B$128,C1395,SONDERZAHLUNGEN!$C$9:$C$128,A1395,SONDERZAHLUNGEN!$H$9:$H$128,"OK",SONDERZAHLUNGEN!$F$9:$F$128,"Ja")-G1395))</x:f>
      </x:c>
    </x:row>
    <x:row r="1396" ht="19" customHeight="1">
      <x:c r="A1396" s="90" t="n">
        <x:f>MONATSBUDGET!$A$76</x:f>
        <x:v>48305</x:v>
      </x:c>
      <x:c r="B1396" t="n">
        <x:f>17</x:f>
        <x:v>17</x:v>
      </x:c>
      <x:c r="C1396" t="str">
        <x:f>IF($N$25="","",$N$25)</x:f>
      </x:c>
      <x:c r="D1396" s="88" t="str">
        <x:f>IF(C1396="","",I1376)</x:f>
      </x:c>
      <x:c r="E1396" s="88" t="str">
        <x:f>IF(C1396="","",ROUND(D1396*$P$25/12,2))</x:f>
      </x:c>
      <x:c r="F1396" s="88" t="str">
        <x:f>IF(C1396="","",MIN(D1396+E1396,$Q$25))</x:f>
      </x:c>
      <x:c r="G1396" s="88" t="str">
        <x:f>IF(C1396="","",MIN(MAX(0,D1396+E1396-F1396),SUMIFS(SONDERZAHLUNGEN!$E$9:$E$128,SONDERZAHLUNGEN!$B$9:$B$128,C1396,SONDERZAHLUNGEN!$C$9:$C$128,A1396,SONDERZAHLUNGEN!$H$9:$H$128,"OK",SONDERZAHLUNGEN!$F$9:$F$128,"Ja")))</x:f>
      </x:c>
      <x:c r="H1396" s="88" t="str">
        <x:f>IF(C1396="","",MIN(MAX(0,D1396+E1396-F1396-G1396),MAX(0,IF(MONATSBUDGET!$C$76="",0,MONATSBUDGET!$C$76)-SUM(F1380:F1399)-SUM(H1380:H1395))))</x:f>
      </x:c>
      <x:c r="I1396" s="88" t="str">
        <x:f>IF(C1396="","",MAX(0,ROUND(D1396+E1396-F1396-G1396-H1396,2)))</x:f>
      </x:c>
      <x:c r="J1396" s="88" t="str">
        <x:f>IF(C1396="","",F1396+G1396+H1396)</x:f>
      </x:c>
      <x:c r="K1396" s="88" t="str">
        <x:f>IF(C1396="","",MAX(0,SUMIFS(SONDERZAHLUNGEN!$E$9:$E$128,SONDERZAHLUNGEN!$B$9:$B$128,C1396,SONDERZAHLUNGEN!$C$9:$C$128,A1396,SONDERZAHLUNGEN!$H$9:$H$128,"OK",SONDERZAHLUNGEN!$F$9:$F$128,"Ja")-G1396))</x:f>
      </x:c>
    </x:row>
    <x:row r="1397" ht="19" customHeight="1">
      <x:c r="A1397" s="90" t="n">
        <x:f>MONATSBUDGET!$A$76</x:f>
        <x:v>48305</x:v>
      </x:c>
      <x:c r="B1397" t="n">
        <x:f>18</x:f>
        <x:v>18</x:v>
      </x:c>
      <x:c r="C1397" t="str">
        <x:f>IF($N$26="","",$N$26)</x:f>
      </x:c>
      <x:c r="D1397" s="88" t="str">
        <x:f>IF(C1397="","",I1377)</x:f>
      </x:c>
      <x:c r="E1397" s="88" t="str">
        <x:f>IF(C1397="","",ROUND(D1397*$P$26/12,2))</x:f>
      </x:c>
      <x:c r="F1397" s="88" t="str">
        <x:f>IF(C1397="","",MIN(D1397+E1397,$Q$26))</x:f>
      </x:c>
      <x:c r="G1397" s="88" t="str">
        <x:f>IF(C1397="","",MIN(MAX(0,D1397+E1397-F1397),SUMIFS(SONDERZAHLUNGEN!$E$9:$E$128,SONDERZAHLUNGEN!$B$9:$B$128,C1397,SONDERZAHLUNGEN!$C$9:$C$128,A1397,SONDERZAHLUNGEN!$H$9:$H$128,"OK",SONDERZAHLUNGEN!$F$9:$F$128,"Ja")))</x:f>
      </x:c>
      <x:c r="H1397" s="88" t="str">
        <x:f>IF(C1397="","",MIN(MAX(0,D1397+E1397-F1397-G1397),MAX(0,IF(MONATSBUDGET!$C$76="",0,MONATSBUDGET!$C$76)-SUM(F1380:F1399)-SUM(H1380:H1396))))</x:f>
      </x:c>
      <x:c r="I1397" s="88" t="str">
        <x:f>IF(C1397="","",MAX(0,ROUND(D1397+E1397-F1397-G1397-H1397,2)))</x:f>
      </x:c>
      <x:c r="J1397" s="88" t="str">
        <x:f>IF(C1397="","",F1397+G1397+H1397)</x:f>
      </x:c>
      <x:c r="K1397" s="88" t="str">
        <x:f>IF(C1397="","",MAX(0,SUMIFS(SONDERZAHLUNGEN!$E$9:$E$128,SONDERZAHLUNGEN!$B$9:$B$128,C1397,SONDERZAHLUNGEN!$C$9:$C$128,A1397,SONDERZAHLUNGEN!$H$9:$H$128,"OK",SONDERZAHLUNGEN!$F$9:$F$128,"Ja")-G1397))</x:f>
      </x:c>
    </x:row>
    <x:row r="1398" ht="19" customHeight="1">
      <x:c r="A1398" s="90" t="n">
        <x:f>MONATSBUDGET!$A$76</x:f>
        <x:v>48305</x:v>
      </x:c>
      <x:c r="B1398" t="n">
        <x:f>19</x:f>
        <x:v>19</x:v>
      </x:c>
      <x:c r="C1398" t="str">
        <x:f>IF($N$27="","",$N$27)</x:f>
      </x:c>
      <x:c r="D1398" s="88" t="str">
        <x:f>IF(C1398="","",I1378)</x:f>
      </x:c>
      <x:c r="E1398" s="88" t="str">
        <x:f>IF(C1398="","",ROUND(D1398*$P$27/12,2))</x:f>
      </x:c>
      <x:c r="F1398" s="88" t="str">
        <x:f>IF(C1398="","",MIN(D1398+E1398,$Q$27))</x:f>
      </x:c>
      <x:c r="G1398" s="88" t="str">
        <x:f>IF(C1398="","",MIN(MAX(0,D1398+E1398-F1398),SUMIFS(SONDERZAHLUNGEN!$E$9:$E$128,SONDERZAHLUNGEN!$B$9:$B$128,C1398,SONDERZAHLUNGEN!$C$9:$C$128,A1398,SONDERZAHLUNGEN!$H$9:$H$128,"OK",SONDERZAHLUNGEN!$F$9:$F$128,"Ja")))</x:f>
      </x:c>
      <x:c r="H1398" s="88" t="str">
        <x:f>IF(C1398="","",MIN(MAX(0,D1398+E1398-F1398-G1398),MAX(0,IF(MONATSBUDGET!$C$76="",0,MONATSBUDGET!$C$76)-SUM(F1380:F1399)-SUM(H1380:H1397))))</x:f>
      </x:c>
      <x:c r="I1398" s="88" t="str">
        <x:f>IF(C1398="","",MAX(0,ROUND(D1398+E1398-F1398-G1398-H1398,2)))</x:f>
      </x:c>
      <x:c r="J1398" s="88" t="str">
        <x:f>IF(C1398="","",F1398+G1398+H1398)</x:f>
      </x:c>
      <x:c r="K1398" s="88" t="str">
        <x:f>IF(C1398="","",MAX(0,SUMIFS(SONDERZAHLUNGEN!$E$9:$E$128,SONDERZAHLUNGEN!$B$9:$B$128,C1398,SONDERZAHLUNGEN!$C$9:$C$128,A1398,SONDERZAHLUNGEN!$H$9:$H$128,"OK",SONDERZAHLUNGEN!$F$9:$F$128,"Ja")-G1398))</x:f>
      </x:c>
    </x:row>
    <x:row r="1399" ht="19" customHeight="1">
      <x:c r="A1399" s="90" t="n">
        <x:f>MONATSBUDGET!$A$76</x:f>
        <x:v>48305</x:v>
      </x:c>
      <x:c r="B1399" t="n">
        <x:f>20</x:f>
        <x:v>20</x:v>
      </x:c>
      <x:c r="C1399" t="str">
        <x:f>IF($N$28="","",$N$28)</x:f>
      </x:c>
      <x:c r="D1399" s="88" t="str">
        <x:f>IF(C1399="","",I1379)</x:f>
      </x:c>
      <x:c r="E1399" s="88" t="str">
        <x:f>IF(C1399="","",ROUND(D1399*$P$28/12,2))</x:f>
      </x:c>
      <x:c r="F1399" s="88" t="str">
        <x:f>IF(C1399="","",MIN(D1399+E1399,$Q$28))</x:f>
      </x:c>
      <x:c r="G1399" s="88" t="str">
        <x:f>IF(C1399="","",MIN(MAX(0,D1399+E1399-F1399),SUMIFS(SONDERZAHLUNGEN!$E$9:$E$128,SONDERZAHLUNGEN!$B$9:$B$128,C1399,SONDERZAHLUNGEN!$C$9:$C$128,A1399,SONDERZAHLUNGEN!$H$9:$H$128,"OK",SONDERZAHLUNGEN!$F$9:$F$128,"Ja")))</x:f>
      </x:c>
      <x:c r="H1399" s="88" t="str">
        <x:f>IF(C1399="","",MIN(MAX(0,D1399+E1399-F1399-G1399),MAX(0,IF(MONATSBUDGET!$C$76="",0,MONATSBUDGET!$C$76)-SUM(F1380:F1399)-SUM(H1380:H1398))))</x:f>
      </x:c>
      <x:c r="I1399" s="88" t="str">
        <x:f>IF(C1399="","",MAX(0,ROUND(D1399+E1399-F1399-G1399-H1399,2)))</x:f>
      </x:c>
      <x:c r="J1399" s="88" t="str">
        <x:f>IF(C1399="","",F1399+G1399+H1399)</x:f>
      </x:c>
      <x:c r="K1399" s="88" t="str">
        <x:f>IF(C1399="","",MAX(0,SUMIFS(SONDERZAHLUNGEN!$E$9:$E$128,SONDERZAHLUNGEN!$B$9:$B$128,C1399,SONDERZAHLUNGEN!$C$9:$C$128,A1399,SONDERZAHLUNGEN!$H$9:$H$128,"OK",SONDERZAHLUNGEN!$F$9:$F$128,"Ja")-G1399))</x:f>
      </x:c>
    </x:row>
    <x:row r="1400" ht="19" customHeight="1">
      <x:c r="A1400" s="90" t="n">
        <x:f>MONATSBUDGET!$A$77</x:f>
        <x:v>48335</x:v>
      </x:c>
      <x:c r="B1400" t="n">
        <x:f>1</x:f>
        <x:v>1</x:v>
      </x:c>
      <x:c r="C1400" t="str">
        <x:f>IF($N$9="","",$N$9)</x:f>
      </x:c>
      <x:c r="D1400" s="88" t="str">
        <x:f>IF(C1400="","",I1380)</x:f>
      </x:c>
      <x:c r="E1400" s="88" t="str">
        <x:f>IF(C1400="","",ROUND(D1400*$P$9/12,2))</x:f>
      </x:c>
      <x:c r="F1400" s="88" t="str">
        <x:f>IF(C1400="","",MIN(D1400+E1400,$Q$9))</x:f>
      </x:c>
      <x:c r="G1400" s="88" t="str">
        <x:f>IF(C1400="","",MIN(MAX(0,D1400+E1400-F1400),SUMIFS(SONDERZAHLUNGEN!$E$9:$E$128,SONDERZAHLUNGEN!$B$9:$B$128,C1400,SONDERZAHLUNGEN!$C$9:$C$128,A1400,SONDERZAHLUNGEN!$H$9:$H$128,"OK",SONDERZAHLUNGEN!$F$9:$F$128,"Ja")))</x:f>
      </x:c>
      <x:c r="H1400" s="88" t="str">
        <x:f>IF(C1400="","",MIN(MAX(0,D1400+E1400-F1400-G1400),MAX(0,IF(MONATSBUDGET!$C$77="",0,MONATSBUDGET!$C$77)-SUM(F1400:F1419)-0)))</x:f>
      </x:c>
      <x:c r="I1400" s="88" t="str">
        <x:f>IF(C1400="","",MAX(0,ROUND(D1400+E1400-F1400-G1400-H1400,2)))</x:f>
      </x:c>
      <x:c r="J1400" s="88" t="str">
        <x:f>IF(C1400="","",F1400+G1400+H1400)</x:f>
      </x:c>
      <x:c r="K1400" s="88" t="str">
        <x:f>IF(C1400="","",MAX(0,SUMIFS(SONDERZAHLUNGEN!$E$9:$E$128,SONDERZAHLUNGEN!$B$9:$B$128,C1400,SONDERZAHLUNGEN!$C$9:$C$128,A1400,SONDERZAHLUNGEN!$H$9:$H$128,"OK",SONDERZAHLUNGEN!$F$9:$F$128,"Ja")-G1400))</x:f>
      </x:c>
    </x:row>
    <x:row r="1401" ht="19" customHeight="1">
      <x:c r="A1401" s="90" t="n">
        <x:f>MONATSBUDGET!$A$77</x:f>
        <x:v>48335</x:v>
      </x:c>
      <x:c r="B1401" t="n">
        <x:f>2</x:f>
        <x:v>2</x:v>
      </x:c>
      <x:c r="C1401" t="str">
        <x:f>IF($N$10="","",$N$10)</x:f>
      </x:c>
      <x:c r="D1401" s="88" t="str">
        <x:f>IF(C1401="","",I1381)</x:f>
      </x:c>
      <x:c r="E1401" s="88" t="str">
        <x:f>IF(C1401="","",ROUND(D1401*$P$10/12,2))</x:f>
      </x:c>
      <x:c r="F1401" s="88" t="str">
        <x:f>IF(C1401="","",MIN(D1401+E1401,$Q$10))</x:f>
      </x:c>
      <x:c r="G1401" s="88" t="str">
        <x:f>IF(C1401="","",MIN(MAX(0,D1401+E1401-F1401),SUMIFS(SONDERZAHLUNGEN!$E$9:$E$128,SONDERZAHLUNGEN!$B$9:$B$128,C1401,SONDERZAHLUNGEN!$C$9:$C$128,A1401,SONDERZAHLUNGEN!$H$9:$H$128,"OK",SONDERZAHLUNGEN!$F$9:$F$128,"Ja")))</x:f>
      </x:c>
      <x:c r="H1401" s="88" t="str">
        <x:f>IF(C1401="","",MIN(MAX(0,D1401+E1401-F1401-G1401),MAX(0,IF(MONATSBUDGET!$C$77="",0,MONATSBUDGET!$C$77)-SUM(F1400:F1419)-SUM(H1400:H1400))))</x:f>
      </x:c>
      <x:c r="I1401" s="88" t="str">
        <x:f>IF(C1401="","",MAX(0,ROUND(D1401+E1401-F1401-G1401-H1401,2)))</x:f>
      </x:c>
      <x:c r="J1401" s="88" t="str">
        <x:f>IF(C1401="","",F1401+G1401+H1401)</x:f>
      </x:c>
      <x:c r="K1401" s="88" t="str">
        <x:f>IF(C1401="","",MAX(0,SUMIFS(SONDERZAHLUNGEN!$E$9:$E$128,SONDERZAHLUNGEN!$B$9:$B$128,C1401,SONDERZAHLUNGEN!$C$9:$C$128,A1401,SONDERZAHLUNGEN!$H$9:$H$128,"OK",SONDERZAHLUNGEN!$F$9:$F$128,"Ja")-G1401))</x:f>
      </x:c>
    </x:row>
    <x:row r="1402" ht="19" customHeight="1">
      <x:c r="A1402" s="90" t="n">
        <x:f>MONATSBUDGET!$A$77</x:f>
        <x:v>48335</x:v>
      </x:c>
      <x:c r="B1402" t="n">
        <x:f>3</x:f>
        <x:v>3</x:v>
      </x:c>
      <x:c r="C1402" t="str">
        <x:f>IF($N$11="","",$N$11)</x:f>
      </x:c>
      <x:c r="D1402" s="88" t="str">
        <x:f>IF(C1402="","",I1382)</x:f>
      </x:c>
      <x:c r="E1402" s="88" t="str">
        <x:f>IF(C1402="","",ROUND(D1402*$P$11/12,2))</x:f>
      </x:c>
      <x:c r="F1402" s="88" t="str">
        <x:f>IF(C1402="","",MIN(D1402+E1402,$Q$11))</x:f>
      </x:c>
      <x:c r="G1402" s="88" t="str">
        <x:f>IF(C1402="","",MIN(MAX(0,D1402+E1402-F1402),SUMIFS(SONDERZAHLUNGEN!$E$9:$E$128,SONDERZAHLUNGEN!$B$9:$B$128,C1402,SONDERZAHLUNGEN!$C$9:$C$128,A1402,SONDERZAHLUNGEN!$H$9:$H$128,"OK",SONDERZAHLUNGEN!$F$9:$F$128,"Ja")))</x:f>
      </x:c>
      <x:c r="H1402" s="88" t="str">
        <x:f>IF(C1402="","",MIN(MAX(0,D1402+E1402-F1402-G1402),MAX(0,IF(MONATSBUDGET!$C$77="",0,MONATSBUDGET!$C$77)-SUM(F1400:F1419)-SUM(H1400:H1401))))</x:f>
      </x:c>
      <x:c r="I1402" s="88" t="str">
        <x:f>IF(C1402="","",MAX(0,ROUND(D1402+E1402-F1402-G1402-H1402,2)))</x:f>
      </x:c>
      <x:c r="J1402" s="88" t="str">
        <x:f>IF(C1402="","",F1402+G1402+H1402)</x:f>
      </x:c>
      <x:c r="K1402" s="88" t="str">
        <x:f>IF(C1402="","",MAX(0,SUMIFS(SONDERZAHLUNGEN!$E$9:$E$128,SONDERZAHLUNGEN!$B$9:$B$128,C1402,SONDERZAHLUNGEN!$C$9:$C$128,A1402,SONDERZAHLUNGEN!$H$9:$H$128,"OK",SONDERZAHLUNGEN!$F$9:$F$128,"Ja")-G1402))</x:f>
      </x:c>
    </x:row>
    <x:row r="1403" ht="19" customHeight="1">
      <x:c r="A1403" s="90" t="n">
        <x:f>MONATSBUDGET!$A$77</x:f>
        <x:v>48335</x:v>
      </x:c>
      <x:c r="B1403" t="n">
        <x:f>4</x:f>
        <x:v>4</x:v>
      </x:c>
      <x:c r="C1403" t="str">
        <x:f>IF($N$12="","",$N$12)</x:f>
      </x:c>
      <x:c r="D1403" s="88" t="str">
        <x:f>IF(C1403="","",I1383)</x:f>
      </x:c>
      <x:c r="E1403" s="88" t="str">
        <x:f>IF(C1403="","",ROUND(D1403*$P$12/12,2))</x:f>
      </x:c>
      <x:c r="F1403" s="88" t="str">
        <x:f>IF(C1403="","",MIN(D1403+E1403,$Q$12))</x:f>
      </x:c>
      <x:c r="G1403" s="88" t="str">
        <x:f>IF(C1403="","",MIN(MAX(0,D1403+E1403-F1403),SUMIFS(SONDERZAHLUNGEN!$E$9:$E$128,SONDERZAHLUNGEN!$B$9:$B$128,C1403,SONDERZAHLUNGEN!$C$9:$C$128,A1403,SONDERZAHLUNGEN!$H$9:$H$128,"OK",SONDERZAHLUNGEN!$F$9:$F$128,"Ja")))</x:f>
      </x:c>
      <x:c r="H1403" s="88" t="str">
        <x:f>IF(C1403="","",MIN(MAX(0,D1403+E1403-F1403-G1403),MAX(0,IF(MONATSBUDGET!$C$77="",0,MONATSBUDGET!$C$77)-SUM(F1400:F1419)-SUM(H1400:H1402))))</x:f>
      </x:c>
      <x:c r="I1403" s="88" t="str">
        <x:f>IF(C1403="","",MAX(0,ROUND(D1403+E1403-F1403-G1403-H1403,2)))</x:f>
      </x:c>
      <x:c r="J1403" s="88" t="str">
        <x:f>IF(C1403="","",F1403+G1403+H1403)</x:f>
      </x:c>
      <x:c r="K1403" s="88" t="str">
        <x:f>IF(C1403="","",MAX(0,SUMIFS(SONDERZAHLUNGEN!$E$9:$E$128,SONDERZAHLUNGEN!$B$9:$B$128,C1403,SONDERZAHLUNGEN!$C$9:$C$128,A1403,SONDERZAHLUNGEN!$H$9:$H$128,"OK",SONDERZAHLUNGEN!$F$9:$F$128,"Ja")-G1403))</x:f>
      </x:c>
    </x:row>
    <x:row r="1404" ht="19" customHeight="1">
      <x:c r="A1404" s="90" t="n">
        <x:f>MONATSBUDGET!$A$77</x:f>
        <x:v>48335</x:v>
      </x:c>
      <x:c r="B1404" t="n">
        <x:f>5</x:f>
        <x:v>5</x:v>
      </x:c>
      <x:c r="C1404" t="str">
        <x:f>IF($N$13="","",$N$13)</x:f>
      </x:c>
      <x:c r="D1404" s="88" t="str">
        <x:f>IF(C1404="","",I1384)</x:f>
      </x:c>
      <x:c r="E1404" s="88" t="str">
        <x:f>IF(C1404="","",ROUND(D1404*$P$13/12,2))</x:f>
      </x:c>
      <x:c r="F1404" s="88" t="str">
        <x:f>IF(C1404="","",MIN(D1404+E1404,$Q$13))</x:f>
      </x:c>
      <x:c r="G1404" s="88" t="str">
        <x:f>IF(C1404="","",MIN(MAX(0,D1404+E1404-F1404),SUMIFS(SONDERZAHLUNGEN!$E$9:$E$128,SONDERZAHLUNGEN!$B$9:$B$128,C1404,SONDERZAHLUNGEN!$C$9:$C$128,A1404,SONDERZAHLUNGEN!$H$9:$H$128,"OK",SONDERZAHLUNGEN!$F$9:$F$128,"Ja")))</x:f>
      </x:c>
      <x:c r="H1404" s="88" t="str">
        <x:f>IF(C1404="","",MIN(MAX(0,D1404+E1404-F1404-G1404),MAX(0,IF(MONATSBUDGET!$C$77="",0,MONATSBUDGET!$C$77)-SUM(F1400:F1419)-SUM(H1400:H1403))))</x:f>
      </x:c>
      <x:c r="I1404" s="88" t="str">
        <x:f>IF(C1404="","",MAX(0,ROUND(D1404+E1404-F1404-G1404-H1404,2)))</x:f>
      </x:c>
      <x:c r="J1404" s="88" t="str">
        <x:f>IF(C1404="","",F1404+G1404+H1404)</x:f>
      </x:c>
      <x:c r="K1404" s="88" t="str">
        <x:f>IF(C1404="","",MAX(0,SUMIFS(SONDERZAHLUNGEN!$E$9:$E$128,SONDERZAHLUNGEN!$B$9:$B$128,C1404,SONDERZAHLUNGEN!$C$9:$C$128,A1404,SONDERZAHLUNGEN!$H$9:$H$128,"OK",SONDERZAHLUNGEN!$F$9:$F$128,"Ja")-G1404))</x:f>
      </x:c>
    </x:row>
    <x:row r="1405" ht="19" customHeight="1">
      <x:c r="A1405" s="90" t="n">
        <x:f>MONATSBUDGET!$A$77</x:f>
        <x:v>48335</x:v>
      </x:c>
      <x:c r="B1405" t="n">
        <x:f>6</x:f>
        <x:v>6</x:v>
      </x:c>
      <x:c r="C1405" t="str">
        <x:f>IF($N$14="","",$N$14)</x:f>
      </x:c>
      <x:c r="D1405" s="88" t="str">
        <x:f>IF(C1405="","",I1385)</x:f>
      </x:c>
      <x:c r="E1405" s="88" t="str">
        <x:f>IF(C1405="","",ROUND(D1405*$P$14/12,2))</x:f>
      </x:c>
      <x:c r="F1405" s="88" t="str">
        <x:f>IF(C1405="","",MIN(D1405+E1405,$Q$14))</x:f>
      </x:c>
      <x:c r="G1405" s="88" t="str">
        <x:f>IF(C1405="","",MIN(MAX(0,D1405+E1405-F1405),SUMIFS(SONDERZAHLUNGEN!$E$9:$E$128,SONDERZAHLUNGEN!$B$9:$B$128,C1405,SONDERZAHLUNGEN!$C$9:$C$128,A1405,SONDERZAHLUNGEN!$H$9:$H$128,"OK",SONDERZAHLUNGEN!$F$9:$F$128,"Ja")))</x:f>
      </x:c>
      <x:c r="H1405" s="88" t="str">
        <x:f>IF(C1405="","",MIN(MAX(0,D1405+E1405-F1405-G1405),MAX(0,IF(MONATSBUDGET!$C$77="",0,MONATSBUDGET!$C$77)-SUM(F1400:F1419)-SUM(H1400:H1404))))</x:f>
      </x:c>
      <x:c r="I1405" s="88" t="str">
        <x:f>IF(C1405="","",MAX(0,ROUND(D1405+E1405-F1405-G1405-H1405,2)))</x:f>
      </x:c>
      <x:c r="J1405" s="88" t="str">
        <x:f>IF(C1405="","",F1405+G1405+H1405)</x:f>
      </x:c>
      <x:c r="K1405" s="88" t="str">
        <x:f>IF(C1405="","",MAX(0,SUMIFS(SONDERZAHLUNGEN!$E$9:$E$128,SONDERZAHLUNGEN!$B$9:$B$128,C1405,SONDERZAHLUNGEN!$C$9:$C$128,A1405,SONDERZAHLUNGEN!$H$9:$H$128,"OK",SONDERZAHLUNGEN!$F$9:$F$128,"Ja")-G1405))</x:f>
      </x:c>
    </x:row>
    <x:row r="1406" ht="19" customHeight="1">
      <x:c r="A1406" s="90" t="n">
        <x:f>MONATSBUDGET!$A$77</x:f>
        <x:v>48335</x:v>
      </x:c>
      <x:c r="B1406" t="n">
        <x:f>7</x:f>
        <x:v>7</x:v>
      </x:c>
      <x:c r="C1406" t="str">
        <x:f>IF($N$15="","",$N$15)</x:f>
      </x:c>
      <x:c r="D1406" s="88" t="str">
        <x:f>IF(C1406="","",I1386)</x:f>
      </x:c>
      <x:c r="E1406" s="88" t="str">
        <x:f>IF(C1406="","",ROUND(D1406*$P$15/12,2))</x:f>
      </x:c>
      <x:c r="F1406" s="88" t="str">
        <x:f>IF(C1406="","",MIN(D1406+E1406,$Q$15))</x:f>
      </x:c>
      <x:c r="G1406" s="88" t="str">
        <x:f>IF(C1406="","",MIN(MAX(0,D1406+E1406-F1406),SUMIFS(SONDERZAHLUNGEN!$E$9:$E$128,SONDERZAHLUNGEN!$B$9:$B$128,C1406,SONDERZAHLUNGEN!$C$9:$C$128,A1406,SONDERZAHLUNGEN!$H$9:$H$128,"OK",SONDERZAHLUNGEN!$F$9:$F$128,"Ja")))</x:f>
      </x:c>
      <x:c r="H1406" s="88" t="str">
        <x:f>IF(C1406="","",MIN(MAX(0,D1406+E1406-F1406-G1406),MAX(0,IF(MONATSBUDGET!$C$77="",0,MONATSBUDGET!$C$77)-SUM(F1400:F1419)-SUM(H1400:H1405))))</x:f>
      </x:c>
      <x:c r="I1406" s="88" t="str">
        <x:f>IF(C1406="","",MAX(0,ROUND(D1406+E1406-F1406-G1406-H1406,2)))</x:f>
      </x:c>
      <x:c r="J1406" s="88" t="str">
        <x:f>IF(C1406="","",F1406+G1406+H1406)</x:f>
      </x:c>
      <x:c r="K1406" s="88" t="str">
        <x:f>IF(C1406="","",MAX(0,SUMIFS(SONDERZAHLUNGEN!$E$9:$E$128,SONDERZAHLUNGEN!$B$9:$B$128,C1406,SONDERZAHLUNGEN!$C$9:$C$128,A1406,SONDERZAHLUNGEN!$H$9:$H$128,"OK",SONDERZAHLUNGEN!$F$9:$F$128,"Ja")-G1406))</x:f>
      </x:c>
    </x:row>
    <x:row r="1407" ht="19" customHeight="1">
      <x:c r="A1407" s="90" t="n">
        <x:f>MONATSBUDGET!$A$77</x:f>
        <x:v>48335</x:v>
      </x:c>
      <x:c r="B1407" t="n">
        <x:f>8</x:f>
        <x:v>8</x:v>
      </x:c>
      <x:c r="C1407" t="str">
        <x:f>IF($N$16="","",$N$16)</x:f>
      </x:c>
      <x:c r="D1407" s="88" t="str">
        <x:f>IF(C1407="","",I1387)</x:f>
      </x:c>
      <x:c r="E1407" s="88" t="str">
        <x:f>IF(C1407="","",ROUND(D1407*$P$16/12,2))</x:f>
      </x:c>
      <x:c r="F1407" s="88" t="str">
        <x:f>IF(C1407="","",MIN(D1407+E1407,$Q$16))</x:f>
      </x:c>
      <x:c r="G1407" s="88" t="str">
        <x:f>IF(C1407="","",MIN(MAX(0,D1407+E1407-F1407),SUMIFS(SONDERZAHLUNGEN!$E$9:$E$128,SONDERZAHLUNGEN!$B$9:$B$128,C1407,SONDERZAHLUNGEN!$C$9:$C$128,A1407,SONDERZAHLUNGEN!$H$9:$H$128,"OK",SONDERZAHLUNGEN!$F$9:$F$128,"Ja")))</x:f>
      </x:c>
      <x:c r="H1407" s="88" t="str">
        <x:f>IF(C1407="","",MIN(MAX(0,D1407+E1407-F1407-G1407),MAX(0,IF(MONATSBUDGET!$C$77="",0,MONATSBUDGET!$C$77)-SUM(F1400:F1419)-SUM(H1400:H1406))))</x:f>
      </x:c>
      <x:c r="I1407" s="88" t="str">
        <x:f>IF(C1407="","",MAX(0,ROUND(D1407+E1407-F1407-G1407-H1407,2)))</x:f>
      </x:c>
      <x:c r="J1407" s="88" t="str">
        <x:f>IF(C1407="","",F1407+G1407+H1407)</x:f>
      </x:c>
      <x:c r="K1407" s="88" t="str">
        <x:f>IF(C1407="","",MAX(0,SUMIFS(SONDERZAHLUNGEN!$E$9:$E$128,SONDERZAHLUNGEN!$B$9:$B$128,C1407,SONDERZAHLUNGEN!$C$9:$C$128,A1407,SONDERZAHLUNGEN!$H$9:$H$128,"OK",SONDERZAHLUNGEN!$F$9:$F$128,"Ja")-G1407))</x:f>
      </x:c>
    </x:row>
    <x:row r="1408" ht="19" customHeight="1">
      <x:c r="A1408" s="90" t="n">
        <x:f>MONATSBUDGET!$A$77</x:f>
        <x:v>48335</x:v>
      </x:c>
      <x:c r="B1408" t="n">
        <x:f>9</x:f>
        <x:v>9</x:v>
      </x:c>
      <x:c r="C1408" t="str">
        <x:f>IF($N$17="","",$N$17)</x:f>
      </x:c>
      <x:c r="D1408" s="88" t="str">
        <x:f>IF(C1408="","",I1388)</x:f>
      </x:c>
      <x:c r="E1408" s="88" t="str">
        <x:f>IF(C1408="","",ROUND(D1408*$P$17/12,2))</x:f>
      </x:c>
      <x:c r="F1408" s="88" t="str">
        <x:f>IF(C1408="","",MIN(D1408+E1408,$Q$17))</x:f>
      </x:c>
      <x:c r="G1408" s="88" t="str">
        <x:f>IF(C1408="","",MIN(MAX(0,D1408+E1408-F1408),SUMIFS(SONDERZAHLUNGEN!$E$9:$E$128,SONDERZAHLUNGEN!$B$9:$B$128,C1408,SONDERZAHLUNGEN!$C$9:$C$128,A1408,SONDERZAHLUNGEN!$H$9:$H$128,"OK",SONDERZAHLUNGEN!$F$9:$F$128,"Ja")))</x:f>
      </x:c>
      <x:c r="H1408" s="88" t="str">
        <x:f>IF(C1408="","",MIN(MAX(0,D1408+E1408-F1408-G1408),MAX(0,IF(MONATSBUDGET!$C$77="",0,MONATSBUDGET!$C$77)-SUM(F1400:F1419)-SUM(H1400:H1407))))</x:f>
      </x:c>
      <x:c r="I1408" s="88" t="str">
        <x:f>IF(C1408="","",MAX(0,ROUND(D1408+E1408-F1408-G1408-H1408,2)))</x:f>
      </x:c>
      <x:c r="J1408" s="88" t="str">
        <x:f>IF(C1408="","",F1408+G1408+H1408)</x:f>
      </x:c>
      <x:c r="K1408" s="88" t="str">
        <x:f>IF(C1408="","",MAX(0,SUMIFS(SONDERZAHLUNGEN!$E$9:$E$128,SONDERZAHLUNGEN!$B$9:$B$128,C1408,SONDERZAHLUNGEN!$C$9:$C$128,A1408,SONDERZAHLUNGEN!$H$9:$H$128,"OK",SONDERZAHLUNGEN!$F$9:$F$128,"Ja")-G1408))</x:f>
      </x:c>
    </x:row>
    <x:row r="1409" ht="19" customHeight="1">
      <x:c r="A1409" s="90" t="n">
        <x:f>MONATSBUDGET!$A$77</x:f>
        <x:v>48335</x:v>
      </x:c>
      <x:c r="B1409" t="n">
        <x:f>10</x:f>
        <x:v>10</x:v>
      </x:c>
      <x:c r="C1409" t="str">
        <x:f>IF($N$18="","",$N$18)</x:f>
      </x:c>
      <x:c r="D1409" s="88" t="str">
        <x:f>IF(C1409="","",I1389)</x:f>
      </x:c>
      <x:c r="E1409" s="88" t="str">
        <x:f>IF(C1409="","",ROUND(D1409*$P$18/12,2))</x:f>
      </x:c>
      <x:c r="F1409" s="88" t="str">
        <x:f>IF(C1409="","",MIN(D1409+E1409,$Q$18))</x:f>
      </x:c>
      <x:c r="G1409" s="88" t="str">
        <x:f>IF(C1409="","",MIN(MAX(0,D1409+E1409-F1409),SUMIFS(SONDERZAHLUNGEN!$E$9:$E$128,SONDERZAHLUNGEN!$B$9:$B$128,C1409,SONDERZAHLUNGEN!$C$9:$C$128,A1409,SONDERZAHLUNGEN!$H$9:$H$128,"OK",SONDERZAHLUNGEN!$F$9:$F$128,"Ja")))</x:f>
      </x:c>
      <x:c r="H1409" s="88" t="str">
        <x:f>IF(C1409="","",MIN(MAX(0,D1409+E1409-F1409-G1409),MAX(0,IF(MONATSBUDGET!$C$77="",0,MONATSBUDGET!$C$77)-SUM(F1400:F1419)-SUM(H1400:H1408))))</x:f>
      </x:c>
      <x:c r="I1409" s="88" t="str">
        <x:f>IF(C1409="","",MAX(0,ROUND(D1409+E1409-F1409-G1409-H1409,2)))</x:f>
      </x:c>
      <x:c r="J1409" s="88" t="str">
        <x:f>IF(C1409="","",F1409+G1409+H1409)</x:f>
      </x:c>
      <x:c r="K1409" s="88" t="str">
        <x:f>IF(C1409="","",MAX(0,SUMIFS(SONDERZAHLUNGEN!$E$9:$E$128,SONDERZAHLUNGEN!$B$9:$B$128,C1409,SONDERZAHLUNGEN!$C$9:$C$128,A1409,SONDERZAHLUNGEN!$H$9:$H$128,"OK",SONDERZAHLUNGEN!$F$9:$F$128,"Ja")-G1409))</x:f>
      </x:c>
    </x:row>
    <x:row r="1410" ht="19" customHeight="1">
      <x:c r="A1410" s="90" t="n">
        <x:f>MONATSBUDGET!$A$77</x:f>
        <x:v>48335</x:v>
      </x:c>
      <x:c r="B1410" t="n">
        <x:f>11</x:f>
        <x:v>11</x:v>
      </x:c>
      <x:c r="C1410" t="str">
        <x:f>IF($N$19="","",$N$19)</x:f>
      </x:c>
      <x:c r="D1410" s="88" t="str">
        <x:f>IF(C1410="","",I1390)</x:f>
      </x:c>
      <x:c r="E1410" s="88" t="str">
        <x:f>IF(C1410="","",ROUND(D1410*$P$19/12,2))</x:f>
      </x:c>
      <x:c r="F1410" s="88" t="str">
        <x:f>IF(C1410="","",MIN(D1410+E1410,$Q$19))</x:f>
      </x:c>
      <x:c r="G1410" s="88" t="str">
        <x:f>IF(C1410="","",MIN(MAX(0,D1410+E1410-F1410),SUMIFS(SONDERZAHLUNGEN!$E$9:$E$128,SONDERZAHLUNGEN!$B$9:$B$128,C1410,SONDERZAHLUNGEN!$C$9:$C$128,A1410,SONDERZAHLUNGEN!$H$9:$H$128,"OK",SONDERZAHLUNGEN!$F$9:$F$128,"Ja")))</x:f>
      </x:c>
      <x:c r="H1410" s="88" t="str">
        <x:f>IF(C1410="","",MIN(MAX(0,D1410+E1410-F1410-G1410),MAX(0,IF(MONATSBUDGET!$C$77="",0,MONATSBUDGET!$C$77)-SUM(F1400:F1419)-SUM(H1400:H1409))))</x:f>
      </x:c>
      <x:c r="I1410" s="88" t="str">
        <x:f>IF(C1410="","",MAX(0,ROUND(D1410+E1410-F1410-G1410-H1410,2)))</x:f>
      </x:c>
      <x:c r="J1410" s="88" t="str">
        <x:f>IF(C1410="","",F1410+G1410+H1410)</x:f>
      </x:c>
      <x:c r="K1410" s="88" t="str">
        <x:f>IF(C1410="","",MAX(0,SUMIFS(SONDERZAHLUNGEN!$E$9:$E$128,SONDERZAHLUNGEN!$B$9:$B$128,C1410,SONDERZAHLUNGEN!$C$9:$C$128,A1410,SONDERZAHLUNGEN!$H$9:$H$128,"OK",SONDERZAHLUNGEN!$F$9:$F$128,"Ja")-G1410))</x:f>
      </x:c>
    </x:row>
    <x:row r="1411" ht="19" customHeight="1">
      <x:c r="A1411" s="90" t="n">
        <x:f>MONATSBUDGET!$A$77</x:f>
        <x:v>48335</x:v>
      </x:c>
      <x:c r="B1411" t="n">
        <x:f>12</x:f>
        <x:v>12</x:v>
      </x:c>
      <x:c r="C1411" t="str">
        <x:f>IF($N$20="","",$N$20)</x:f>
      </x:c>
      <x:c r="D1411" s="88" t="str">
        <x:f>IF(C1411="","",I1391)</x:f>
      </x:c>
      <x:c r="E1411" s="88" t="str">
        <x:f>IF(C1411="","",ROUND(D1411*$P$20/12,2))</x:f>
      </x:c>
      <x:c r="F1411" s="88" t="str">
        <x:f>IF(C1411="","",MIN(D1411+E1411,$Q$20))</x:f>
      </x:c>
      <x:c r="G1411" s="88" t="str">
        <x:f>IF(C1411="","",MIN(MAX(0,D1411+E1411-F1411),SUMIFS(SONDERZAHLUNGEN!$E$9:$E$128,SONDERZAHLUNGEN!$B$9:$B$128,C1411,SONDERZAHLUNGEN!$C$9:$C$128,A1411,SONDERZAHLUNGEN!$H$9:$H$128,"OK",SONDERZAHLUNGEN!$F$9:$F$128,"Ja")))</x:f>
      </x:c>
      <x:c r="H1411" s="88" t="str">
        <x:f>IF(C1411="","",MIN(MAX(0,D1411+E1411-F1411-G1411),MAX(0,IF(MONATSBUDGET!$C$77="",0,MONATSBUDGET!$C$77)-SUM(F1400:F1419)-SUM(H1400:H1410))))</x:f>
      </x:c>
      <x:c r="I1411" s="88" t="str">
        <x:f>IF(C1411="","",MAX(0,ROUND(D1411+E1411-F1411-G1411-H1411,2)))</x:f>
      </x:c>
      <x:c r="J1411" s="88" t="str">
        <x:f>IF(C1411="","",F1411+G1411+H1411)</x:f>
      </x:c>
      <x:c r="K1411" s="88" t="str">
        <x:f>IF(C1411="","",MAX(0,SUMIFS(SONDERZAHLUNGEN!$E$9:$E$128,SONDERZAHLUNGEN!$B$9:$B$128,C1411,SONDERZAHLUNGEN!$C$9:$C$128,A1411,SONDERZAHLUNGEN!$H$9:$H$128,"OK",SONDERZAHLUNGEN!$F$9:$F$128,"Ja")-G1411))</x:f>
      </x:c>
    </x:row>
    <x:row r="1412" ht="19" customHeight="1">
      <x:c r="A1412" s="90" t="n">
        <x:f>MONATSBUDGET!$A$77</x:f>
        <x:v>48335</x:v>
      </x:c>
      <x:c r="B1412" t="n">
        <x:f>13</x:f>
        <x:v>13</x:v>
      </x:c>
      <x:c r="C1412" t="str">
        <x:f>IF($N$21="","",$N$21)</x:f>
      </x:c>
      <x:c r="D1412" s="88" t="str">
        <x:f>IF(C1412="","",I1392)</x:f>
      </x:c>
      <x:c r="E1412" s="88" t="str">
        <x:f>IF(C1412="","",ROUND(D1412*$P$21/12,2))</x:f>
      </x:c>
      <x:c r="F1412" s="88" t="str">
        <x:f>IF(C1412="","",MIN(D1412+E1412,$Q$21))</x:f>
      </x:c>
      <x:c r="G1412" s="88" t="str">
        <x:f>IF(C1412="","",MIN(MAX(0,D1412+E1412-F1412),SUMIFS(SONDERZAHLUNGEN!$E$9:$E$128,SONDERZAHLUNGEN!$B$9:$B$128,C1412,SONDERZAHLUNGEN!$C$9:$C$128,A1412,SONDERZAHLUNGEN!$H$9:$H$128,"OK",SONDERZAHLUNGEN!$F$9:$F$128,"Ja")))</x:f>
      </x:c>
      <x:c r="H1412" s="88" t="str">
        <x:f>IF(C1412="","",MIN(MAX(0,D1412+E1412-F1412-G1412),MAX(0,IF(MONATSBUDGET!$C$77="",0,MONATSBUDGET!$C$77)-SUM(F1400:F1419)-SUM(H1400:H1411))))</x:f>
      </x:c>
      <x:c r="I1412" s="88" t="str">
        <x:f>IF(C1412="","",MAX(0,ROUND(D1412+E1412-F1412-G1412-H1412,2)))</x:f>
      </x:c>
      <x:c r="J1412" s="88" t="str">
        <x:f>IF(C1412="","",F1412+G1412+H1412)</x:f>
      </x:c>
      <x:c r="K1412" s="88" t="str">
        <x:f>IF(C1412="","",MAX(0,SUMIFS(SONDERZAHLUNGEN!$E$9:$E$128,SONDERZAHLUNGEN!$B$9:$B$128,C1412,SONDERZAHLUNGEN!$C$9:$C$128,A1412,SONDERZAHLUNGEN!$H$9:$H$128,"OK",SONDERZAHLUNGEN!$F$9:$F$128,"Ja")-G1412))</x:f>
      </x:c>
    </x:row>
    <x:row r="1413" ht="19" customHeight="1">
      <x:c r="A1413" s="90" t="n">
        <x:f>MONATSBUDGET!$A$77</x:f>
        <x:v>48335</x:v>
      </x:c>
      <x:c r="B1413" t="n">
        <x:f>14</x:f>
        <x:v>14</x:v>
      </x:c>
      <x:c r="C1413" t="str">
        <x:f>IF($N$22="","",$N$22)</x:f>
      </x:c>
      <x:c r="D1413" s="88" t="str">
        <x:f>IF(C1413="","",I1393)</x:f>
      </x:c>
      <x:c r="E1413" s="88" t="str">
        <x:f>IF(C1413="","",ROUND(D1413*$P$22/12,2))</x:f>
      </x:c>
      <x:c r="F1413" s="88" t="str">
        <x:f>IF(C1413="","",MIN(D1413+E1413,$Q$22))</x:f>
      </x:c>
      <x:c r="G1413" s="88" t="str">
        <x:f>IF(C1413="","",MIN(MAX(0,D1413+E1413-F1413),SUMIFS(SONDERZAHLUNGEN!$E$9:$E$128,SONDERZAHLUNGEN!$B$9:$B$128,C1413,SONDERZAHLUNGEN!$C$9:$C$128,A1413,SONDERZAHLUNGEN!$H$9:$H$128,"OK",SONDERZAHLUNGEN!$F$9:$F$128,"Ja")))</x:f>
      </x:c>
      <x:c r="H1413" s="88" t="str">
        <x:f>IF(C1413="","",MIN(MAX(0,D1413+E1413-F1413-G1413),MAX(0,IF(MONATSBUDGET!$C$77="",0,MONATSBUDGET!$C$77)-SUM(F1400:F1419)-SUM(H1400:H1412))))</x:f>
      </x:c>
      <x:c r="I1413" s="88" t="str">
        <x:f>IF(C1413="","",MAX(0,ROUND(D1413+E1413-F1413-G1413-H1413,2)))</x:f>
      </x:c>
      <x:c r="J1413" s="88" t="str">
        <x:f>IF(C1413="","",F1413+G1413+H1413)</x:f>
      </x:c>
      <x:c r="K1413" s="88" t="str">
        <x:f>IF(C1413="","",MAX(0,SUMIFS(SONDERZAHLUNGEN!$E$9:$E$128,SONDERZAHLUNGEN!$B$9:$B$128,C1413,SONDERZAHLUNGEN!$C$9:$C$128,A1413,SONDERZAHLUNGEN!$H$9:$H$128,"OK",SONDERZAHLUNGEN!$F$9:$F$128,"Ja")-G1413))</x:f>
      </x:c>
    </x:row>
    <x:row r="1414" ht="19" customHeight="1">
      <x:c r="A1414" s="90" t="n">
        <x:f>MONATSBUDGET!$A$77</x:f>
        <x:v>48335</x:v>
      </x:c>
      <x:c r="B1414" t="n">
        <x:f>15</x:f>
        <x:v>15</x:v>
      </x:c>
      <x:c r="C1414" t="str">
        <x:f>IF($N$23="","",$N$23)</x:f>
      </x:c>
      <x:c r="D1414" s="88" t="str">
        <x:f>IF(C1414="","",I1394)</x:f>
      </x:c>
      <x:c r="E1414" s="88" t="str">
        <x:f>IF(C1414="","",ROUND(D1414*$P$23/12,2))</x:f>
      </x:c>
      <x:c r="F1414" s="88" t="str">
        <x:f>IF(C1414="","",MIN(D1414+E1414,$Q$23))</x:f>
      </x:c>
      <x:c r="G1414" s="88" t="str">
        <x:f>IF(C1414="","",MIN(MAX(0,D1414+E1414-F1414),SUMIFS(SONDERZAHLUNGEN!$E$9:$E$128,SONDERZAHLUNGEN!$B$9:$B$128,C1414,SONDERZAHLUNGEN!$C$9:$C$128,A1414,SONDERZAHLUNGEN!$H$9:$H$128,"OK",SONDERZAHLUNGEN!$F$9:$F$128,"Ja")))</x:f>
      </x:c>
      <x:c r="H1414" s="88" t="str">
        <x:f>IF(C1414="","",MIN(MAX(0,D1414+E1414-F1414-G1414),MAX(0,IF(MONATSBUDGET!$C$77="",0,MONATSBUDGET!$C$77)-SUM(F1400:F1419)-SUM(H1400:H1413))))</x:f>
      </x:c>
      <x:c r="I1414" s="88" t="str">
        <x:f>IF(C1414="","",MAX(0,ROUND(D1414+E1414-F1414-G1414-H1414,2)))</x:f>
      </x:c>
      <x:c r="J1414" s="88" t="str">
        <x:f>IF(C1414="","",F1414+G1414+H1414)</x:f>
      </x:c>
      <x:c r="K1414" s="88" t="str">
        <x:f>IF(C1414="","",MAX(0,SUMIFS(SONDERZAHLUNGEN!$E$9:$E$128,SONDERZAHLUNGEN!$B$9:$B$128,C1414,SONDERZAHLUNGEN!$C$9:$C$128,A1414,SONDERZAHLUNGEN!$H$9:$H$128,"OK",SONDERZAHLUNGEN!$F$9:$F$128,"Ja")-G1414))</x:f>
      </x:c>
    </x:row>
    <x:row r="1415" ht="19" customHeight="1">
      <x:c r="A1415" s="90" t="n">
        <x:f>MONATSBUDGET!$A$77</x:f>
        <x:v>48335</x:v>
      </x:c>
      <x:c r="B1415" t="n">
        <x:f>16</x:f>
        <x:v>16</x:v>
      </x:c>
      <x:c r="C1415" t="str">
        <x:f>IF($N$24="","",$N$24)</x:f>
      </x:c>
      <x:c r="D1415" s="88" t="str">
        <x:f>IF(C1415="","",I1395)</x:f>
      </x:c>
      <x:c r="E1415" s="88" t="str">
        <x:f>IF(C1415="","",ROUND(D1415*$P$24/12,2))</x:f>
      </x:c>
      <x:c r="F1415" s="88" t="str">
        <x:f>IF(C1415="","",MIN(D1415+E1415,$Q$24))</x:f>
      </x:c>
      <x:c r="G1415" s="88" t="str">
        <x:f>IF(C1415="","",MIN(MAX(0,D1415+E1415-F1415),SUMIFS(SONDERZAHLUNGEN!$E$9:$E$128,SONDERZAHLUNGEN!$B$9:$B$128,C1415,SONDERZAHLUNGEN!$C$9:$C$128,A1415,SONDERZAHLUNGEN!$H$9:$H$128,"OK",SONDERZAHLUNGEN!$F$9:$F$128,"Ja")))</x:f>
      </x:c>
      <x:c r="H1415" s="88" t="str">
        <x:f>IF(C1415="","",MIN(MAX(0,D1415+E1415-F1415-G1415),MAX(0,IF(MONATSBUDGET!$C$77="",0,MONATSBUDGET!$C$77)-SUM(F1400:F1419)-SUM(H1400:H1414))))</x:f>
      </x:c>
      <x:c r="I1415" s="88" t="str">
        <x:f>IF(C1415="","",MAX(0,ROUND(D1415+E1415-F1415-G1415-H1415,2)))</x:f>
      </x:c>
      <x:c r="J1415" s="88" t="str">
        <x:f>IF(C1415="","",F1415+G1415+H1415)</x:f>
      </x:c>
      <x:c r="K1415" s="88" t="str">
        <x:f>IF(C1415="","",MAX(0,SUMIFS(SONDERZAHLUNGEN!$E$9:$E$128,SONDERZAHLUNGEN!$B$9:$B$128,C1415,SONDERZAHLUNGEN!$C$9:$C$128,A1415,SONDERZAHLUNGEN!$H$9:$H$128,"OK",SONDERZAHLUNGEN!$F$9:$F$128,"Ja")-G1415))</x:f>
      </x:c>
    </x:row>
    <x:row r="1416" ht="19" customHeight="1">
      <x:c r="A1416" s="90" t="n">
        <x:f>MONATSBUDGET!$A$77</x:f>
        <x:v>48335</x:v>
      </x:c>
      <x:c r="B1416" t="n">
        <x:f>17</x:f>
        <x:v>17</x:v>
      </x:c>
      <x:c r="C1416" t="str">
        <x:f>IF($N$25="","",$N$25)</x:f>
      </x:c>
      <x:c r="D1416" s="88" t="str">
        <x:f>IF(C1416="","",I1396)</x:f>
      </x:c>
      <x:c r="E1416" s="88" t="str">
        <x:f>IF(C1416="","",ROUND(D1416*$P$25/12,2))</x:f>
      </x:c>
      <x:c r="F1416" s="88" t="str">
        <x:f>IF(C1416="","",MIN(D1416+E1416,$Q$25))</x:f>
      </x:c>
      <x:c r="G1416" s="88" t="str">
        <x:f>IF(C1416="","",MIN(MAX(0,D1416+E1416-F1416),SUMIFS(SONDERZAHLUNGEN!$E$9:$E$128,SONDERZAHLUNGEN!$B$9:$B$128,C1416,SONDERZAHLUNGEN!$C$9:$C$128,A1416,SONDERZAHLUNGEN!$H$9:$H$128,"OK",SONDERZAHLUNGEN!$F$9:$F$128,"Ja")))</x:f>
      </x:c>
      <x:c r="H1416" s="88" t="str">
        <x:f>IF(C1416="","",MIN(MAX(0,D1416+E1416-F1416-G1416),MAX(0,IF(MONATSBUDGET!$C$77="",0,MONATSBUDGET!$C$77)-SUM(F1400:F1419)-SUM(H1400:H1415))))</x:f>
      </x:c>
      <x:c r="I1416" s="88" t="str">
        <x:f>IF(C1416="","",MAX(0,ROUND(D1416+E1416-F1416-G1416-H1416,2)))</x:f>
      </x:c>
      <x:c r="J1416" s="88" t="str">
        <x:f>IF(C1416="","",F1416+G1416+H1416)</x:f>
      </x:c>
      <x:c r="K1416" s="88" t="str">
        <x:f>IF(C1416="","",MAX(0,SUMIFS(SONDERZAHLUNGEN!$E$9:$E$128,SONDERZAHLUNGEN!$B$9:$B$128,C1416,SONDERZAHLUNGEN!$C$9:$C$128,A1416,SONDERZAHLUNGEN!$H$9:$H$128,"OK",SONDERZAHLUNGEN!$F$9:$F$128,"Ja")-G1416))</x:f>
      </x:c>
    </x:row>
    <x:row r="1417" ht="19" customHeight="1">
      <x:c r="A1417" s="90" t="n">
        <x:f>MONATSBUDGET!$A$77</x:f>
        <x:v>48335</x:v>
      </x:c>
      <x:c r="B1417" t="n">
        <x:f>18</x:f>
        <x:v>18</x:v>
      </x:c>
      <x:c r="C1417" t="str">
        <x:f>IF($N$26="","",$N$26)</x:f>
      </x:c>
      <x:c r="D1417" s="88" t="str">
        <x:f>IF(C1417="","",I1397)</x:f>
      </x:c>
      <x:c r="E1417" s="88" t="str">
        <x:f>IF(C1417="","",ROUND(D1417*$P$26/12,2))</x:f>
      </x:c>
      <x:c r="F1417" s="88" t="str">
        <x:f>IF(C1417="","",MIN(D1417+E1417,$Q$26))</x:f>
      </x:c>
      <x:c r="G1417" s="88" t="str">
        <x:f>IF(C1417="","",MIN(MAX(0,D1417+E1417-F1417),SUMIFS(SONDERZAHLUNGEN!$E$9:$E$128,SONDERZAHLUNGEN!$B$9:$B$128,C1417,SONDERZAHLUNGEN!$C$9:$C$128,A1417,SONDERZAHLUNGEN!$H$9:$H$128,"OK",SONDERZAHLUNGEN!$F$9:$F$128,"Ja")))</x:f>
      </x:c>
      <x:c r="H1417" s="88" t="str">
        <x:f>IF(C1417="","",MIN(MAX(0,D1417+E1417-F1417-G1417),MAX(0,IF(MONATSBUDGET!$C$77="",0,MONATSBUDGET!$C$77)-SUM(F1400:F1419)-SUM(H1400:H1416))))</x:f>
      </x:c>
      <x:c r="I1417" s="88" t="str">
        <x:f>IF(C1417="","",MAX(0,ROUND(D1417+E1417-F1417-G1417-H1417,2)))</x:f>
      </x:c>
      <x:c r="J1417" s="88" t="str">
        <x:f>IF(C1417="","",F1417+G1417+H1417)</x:f>
      </x:c>
      <x:c r="K1417" s="88" t="str">
        <x:f>IF(C1417="","",MAX(0,SUMIFS(SONDERZAHLUNGEN!$E$9:$E$128,SONDERZAHLUNGEN!$B$9:$B$128,C1417,SONDERZAHLUNGEN!$C$9:$C$128,A1417,SONDERZAHLUNGEN!$H$9:$H$128,"OK",SONDERZAHLUNGEN!$F$9:$F$128,"Ja")-G1417))</x:f>
      </x:c>
    </x:row>
    <x:row r="1418" ht="19" customHeight="1">
      <x:c r="A1418" s="90" t="n">
        <x:f>MONATSBUDGET!$A$77</x:f>
        <x:v>48335</x:v>
      </x:c>
      <x:c r="B1418" t="n">
        <x:f>19</x:f>
        <x:v>19</x:v>
      </x:c>
      <x:c r="C1418" t="str">
        <x:f>IF($N$27="","",$N$27)</x:f>
      </x:c>
      <x:c r="D1418" s="88" t="str">
        <x:f>IF(C1418="","",I1398)</x:f>
      </x:c>
      <x:c r="E1418" s="88" t="str">
        <x:f>IF(C1418="","",ROUND(D1418*$P$27/12,2))</x:f>
      </x:c>
      <x:c r="F1418" s="88" t="str">
        <x:f>IF(C1418="","",MIN(D1418+E1418,$Q$27))</x:f>
      </x:c>
      <x:c r="G1418" s="88" t="str">
        <x:f>IF(C1418="","",MIN(MAX(0,D1418+E1418-F1418),SUMIFS(SONDERZAHLUNGEN!$E$9:$E$128,SONDERZAHLUNGEN!$B$9:$B$128,C1418,SONDERZAHLUNGEN!$C$9:$C$128,A1418,SONDERZAHLUNGEN!$H$9:$H$128,"OK",SONDERZAHLUNGEN!$F$9:$F$128,"Ja")))</x:f>
      </x:c>
      <x:c r="H1418" s="88" t="str">
        <x:f>IF(C1418="","",MIN(MAX(0,D1418+E1418-F1418-G1418),MAX(0,IF(MONATSBUDGET!$C$77="",0,MONATSBUDGET!$C$77)-SUM(F1400:F1419)-SUM(H1400:H1417))))</x:f>
      </x:c>
      <x:c r="I1418" s="88" t="str">
        <x:f>IF(C1418="","",MAX(0,ROUND(D1418+E1418-F1418-G1418-H1418,2)))</x:f>
      </x:c>
      <x:c r="J1418" s="88" t="str">
        <x:f>IF(C1418="","",F1418+G1418+H1418)</x:f>
      </x:c>
      <x:c r="K1418" s="88" t="str">
        <x:f>IF(C1418="","",MAX(0,SUMIFS(SONDERZAHLUNGEN!$E$9:$E$128,SONDERZAHLUNGEN!$B$9:$B$128,C1418,SONDERZAHLUNGEN!$C$9:$C$128,A1418,SONDERZAHLUNGEN!$H$9:$H$128,"OK",SONDERZAHLUNGEN!$F$9:$F$128,"Ja")-G1418))</x:f>
      </x:c>
    </x:row>
    <x:row r="1419" ht="19" customHeight="1">
      <x:c r="A1419" s="90" t="n">
        <x:f>MONATSBUDGET!$A$77</x:f>
        <x:v>48335</x:v>
      </x:c>
      <x:c r="B1419" t="n">
        <x:f>20</x:f>
        <x:v>20</x:v>
      </x:c>
      <x:c r="C1419" t="str">
        <x:f>IF($N$28="","",$N$28)</x:f>
      </x:c>
      <x:c r="D1419" s="88" t="str">
        <x:f>IF(C1419="","",I1399)</x:f>
      </x:c>
      <x:c r="E1419" s="88" t="str">
        <x:f>IF(C1419="","",ROUND(D1419*$P$28/12,2))</x:f>
      </x:c>
      <x:c r="F1419" s="88" t="str">
        <x:f>IF(C1419="","",MIN(D1419+E1419,$Q$28))</x:f>
      </x:c>
      <x:c r="G1419" s="88" t="str">
        <x:f>IF(C1419="","",MIN(MAX(0,D1419+E1419-F1419),SUMIFS(SONDERZAHLUNGEN!$E$9:$E$128,SONDERZAHLUNGEN!$B$9:$B$128,C1419,SONDERZAHLUNGEN!$C$9:$C$128,A1419,SONDERZAHLUNGEN!$H$9:$H$128,"OK",SONDERZAHLUNGEN!$F$9:$F$128,"Ja")))</x:f>
      </x:c>
      <x:c r="H1419" s="88" t="str">
        <x:f>IF(C1419="","",MIN(MAX(0,D1419+E1419-F1419-G1419),MAX(0,IF(MONATSBUDGET!$C$77="",0,MONATSBUDGET!$C$77)-SUM(F1400:F1419)-SUM(H1400:H1418))))</x:f>
      </x:c>
      <x:c r="I1419" s="88" t="str">
        <x:f>IF(C1419="","",MAX(0,ROUND(D1419+E1419-F1419-G1419-H1419,2)))</x:f>
      </x:c>
      <x:c r="J1419" s="88" t="str">
        <x:f>IF(C1419="","",F1419+G1419+H1419)</x:f>
      </x:c>
      <x:c r="K1419" s="88" t="str">
        <x:f>IF(C1419="","",MAX(0,SUMIFS(SONDERZAHLUNGEN!$E$9:$E$128,SONDERZAHLUNGEN!$B$9:$B$128,C1419,SONDERZAHLUNGEN!$C$9:$C$128,A1419,SONDERZAHLUNGEN!$H$9:$H$128,"OK",SONDERZAHLUNGEN!$F$9:$F$128,"Ja")-G1419))</x:f>
      </x:c>
    </x:row>
    <x:row r="1420" ht="19" customHeight="1">
      <x:c r="A1420" s="90" t="n">
        <x:f>MONATSBUDGET!$A$78</x:f>
        <x:v>48366</x:v>
      </x:c>
      <x:c r="B1420" t="n">
        <x:f>1</x:f>
        <x:v>1</x:v>
      </x:c>
      <x:c r="C1420" t="str">
        <x:f>IF($N$9="","",$N$9)</x:f>
      </x:c>
      <x:c r="D1420" s="88" t="str">
        <x:f>IF(C1420="","",I1400)</x:f>
      </x:c>
      <x:c r="E1420" s="88" t="str">
        <x:f>IF(C1420="","",ROUND(D1420*$P$9/12,2))</x:f>
      </x:c>
      <x:c r="F1420" s="88" t="str">
        <x:f>IF(C1420="","",MIN(D1420+E1420,$Q$9))</x:f>
      </x:c>
      <x:c r="G1420" s="88" t="str">
        <x:f>IF(C1420="","",MIN(MAX(0,D1420+E1420-F1420),SUMIFS(SONDERZAHLUNGEN!$E$9:$E$128,SONDERZAHLUNGEN!$B$9:$B$128,C1420,SONDERZAHLUNGEN!$C$9:$C$128,A1420,SONDERZAHLUNGEN!$H$9:$H$128,"OK",SONDERZAHLUNGEN!$F$9:$F$128,"Ja")))</x:f>
      </x:c>
      <x:c r="H1420" s="88" t="str">
        <x:f>IF(C1420="","",MIN(MAX(0,D1420+E1420-F1420-G1420),MAX(0,IF(MONATSBUDGET!$C$78="",0,MONATSBUDGET!$C$78)-SUM(F1420:F1439)-0)))</x:f>
      </x:c>
      <x:c r="I1420" s="88" t="str">
        <x:f>IF(C1420="","",MAX(0,ROUND(D1420+E1420-F1420-G1420-H1420,2)))</x:f>
      </x:c>
      <x:c r="J1420" s="88" t="str">
        <x:f>IF(C1420="","",F1420+G1420+H1420)</x:f>
      </x:c>
      <x:c r="K1420" s="88" t="str">
        <x:f>IF(C1420="","",MAX(0,SUMIFS(SONDERZAHLUNGEN!$E$9:$E$128,SONDERZAHLUNGEN!$B$9:$B$128,C1420,SONDERZAHLUNGEN!$C$9:$C$128,A1420,SONDERZAHLUNGEN!$H$9:$H$128,"OK",SONDERZAHLUNGEN!$F$9:$F$128,"Ja")-G1420))</x:f>
      </x:c>
    </x:row>
    <x:row r="1421" ht="19" customHeight="1">
      <x:c r="A1421" s="90" t="n">
        <x:f>MONATSBUDGET!$A$78</x:f>
        <x:v>48366</x:v>
      </x:c>
      <x:c r="B1421" t="n">
        <x:f>2</x:f>
        <x:v>2</x:v>
      </x:c>
      <x:c r="C1421" t="str">
        <x:f>IF($N$10="","",$N$10)</x:f>
      </x:c>
      <x:c r="D1421" s="88" t="str">
        <x:f>IF(C1421="","",I1401)</x:f>
      </x:c>
      <x:c r="E1421" s="88" t="str">
        <x:f>IF(C1421="","",ROUND(D1421*$P$10/12,2))</x:f>
      </x:c>
      <x:c r="F1421" s="88" t="str">
        <x:f>IF(C1421="","",MIN(D1421+E1421,$Q$10))</x:f>
      </x:c>
      <x:c r="G1421" s="88" t="str">
        <x:f>IF(C1421="","",MIN(MAX(0,D1421+E1421-F1421),SUMIFS(SONDERZAHLUNGEN!$E$9:$E$128,SONDERZAHLUNGEN!$B$9:$B$128,C1421,SONDERZAHLUNGEN!$C$9:$C$128,A1421,SONDERZAHLUNGEN!$H$9:$H$128,"OK",SONDERZAHLUNGEN!$F$9:$F$128,"Ja")))</x:f>
      </x:c>
      <x:c r="H1421" s="88" t="str">
        <x:f>IF(C1421="","",MIN(MAX(0,D1421+E1421-F1421-G1421),MAX(0,IF(MONATSBUDGET!$C$78="",0,MONATSBUDGET!$C$78)-SUM(F1420:F1439)-SUM(H1420:H1420))))</x:f>
      </x:c>
      <x:c r="I1421" s="88" t="str">
        <x:f>IF(C1421="","",MAX(0,ROUND(D1421+E1421-F1421-G1421-H1421,2)))</x:f>
      </x:c>
      <x:c r="J1421" s="88" t="str">
        <x:f>IF(C1421="","",F1421+G1421+H1421)</x:f>
      </x:c>
      <x:c r="K1421" s="88" t="str">
        <x:f>IF(C1421="","",MAX(0,SUMIFS(SONDERZAHLUNGEN!$E$9:$E$128,SONDERZAHLUNGEN!$B$9:$B$128,C1421,SONDERZAHLUNGEN!$C$9:$C$128,A1421,SONDERZAHLUNGEN!$H$9:$H$128,"OK",SONDERZAHLUNGEN!$F$9:$F$128,"Ja")-G1421))</x:f>
      </x:c>
    </x:row>
    <x:row r="1422" ht="19" customHeight="1">
      <x:c r="A1422" s="90" t="n">
        <x:f>MONATSBUDGET!$A$78</x:f>
        <x:v>48366</x:v>
      </x:c>
      <x:c r="B1422" t="n">
        <x:f>3</x:f>
        <x:v>3</x:v>
      </x:c>
      <x:c r="C1422" t="str">
        <x:f>IF($N$11="","",$N$11)</x:f>
      </x:c>
      <x:c r="D1422" s="88" t="str">
        <x:f>IF(C1422="","",I1402)</x:f>
      </x:c>
      <x:c r="E1422" s="88" t="str">
        <x:f>IF(C1422="","",ROUND(D1422*$P$11/12,2))</x:f>
      </x:c>
      <x:c r="F1422" s="88" t="str">
        <x:f>IF(C1422="","",MIN(D1422+E1422,$Q$11))</x:f>
      </x:c>
      <x:c r="G1422" s="88" t="str">
        <x:f>IF(C1422="","",MIN(MAX(0,D1422+E1422-F1422),SUMIFS(SONDERZAHLUNGEN!$E$9:$E$128,SONDERZAHLUNGEN!$B$9:$B$128,C1422,SONDERZAHLUNGEN!$C$9:$C$128,A1422,SONDERZAHLUNGEN!$H$9:$H$128,"OK",SONDERZAHLUNGEN!$F$9:$F$128,"Ja")))</x:f>
      </x:c>
      <x:c r="H1422" s="88" t="str">
        <x:f>IF(C1422="","",MIN(MAX(0,D1422+E1422-F1422-G1422),MAX(0,IF(MONATSBUDGET!$C$78="",0,MONATSBUDGET!$C$78)-SUM(F1420:F1439)-SUM(H1420:H1421))))</x:f>
      </x:c>
      <x:c r="I1422" s="88" t="str">
        <x:f>IF(C1422="","",MAX(0,ROUND(D1422+E1422-F1422-G1422-H1422,2)))</x:f>
      </x:c>
      <x:c r="J1422" s="88" t="str">
        <x:f>IF(C1422="","",F1422+G1422+H1422)</x:f>
      </x:c>
      <x:c r="K1422" s="88" t="str">
        <x:f>IF(C1422="","",MAX(0,SUMIFS(SONDERZAHLUNGEN!$E$9:$E$128,SONDERZAHLUNGEN!$B$9:$B$128,C1422,SONDERZAHLUNGEN!$C$9:$C$128,A1422,SONDERZAHLUNGEN!$H$9:$H$128,"OK",SONDERZAHLUNGEN!$F$9:$F$128,"Ja")-G1422))</x:f>
      </x:c>
    </x:row>
    <x:row r="1423" ht="19" customHeight="1">
      <x:c r="A1423" s="90" t="n">
        <x:f>MONATSBUDGET!$A$78</x:f>
        <x:v>48366</x:v>
      </x:c>
      <x:c r="B1423" t="n">
        <x:f>4</x:f>
        <x:v>4</x:v>
      </x:c>
      <x:c r="C1423" t="str">
        <x:f>IF($N$12="","",$N$12)</x:f>
      </x:c>
      <x:c r="D1423" s="88" t="str">
        <x:f>IF(C1423="","",I1403)</x:f>
      </x:c>
      <x:c r="E1423" s="88" t="str">
        <x:f>IF(C1423="","",ROUND(D1423*$P$12/12,2))</x:f>
      </x:c>
      <x:c r="F1423" s="88" t="str">
        <x:f>IF(C1423="","",MIN(D1423+E1423,$Q$12))</x:f>
      </x:c>
      <x:c r="G1423" s="88" t="str">
        <x:f>IF(C1423="","",MIN(MAX(0,D1423+E1423-F1423),SUMIFS(SONDERZAHLUNGEN!$E$9:$E$128,SONDERZAHLUNGEN!$B$9:$B$128,C1423,SONDERZAHLUNGEN!$C$9:$C$128,A1423,SONDERZAHLUNGEN!$H$9:$H$128,"OK",SONDERZAHLUNGEN!$F$9:$F$128,"Ja")))</x:f>
      </x:c>
      <x:c r="H1423" s="88" t="str">
        <x:f>IF(C1423="","",MIN(MAX(0,D1423+E1423-F1423-G1423),MAX(0,IF(MONATSBUDGET!$C$78="",0,MONATSBUDGET!$C$78)-SUM(F1420:F1439)-SUM(H1420:H1422))))</x:f>
      </x:c>
      <x:c r="I1423" s="88" t="str">
        <x:f>IF(C1423="","",MAX(0,ROUND(D1423+E1423-F1423-G1423-H1423,2)))</x:f>
      </x:c>
      <x:c r="J1423" s="88" t="str">
        <x:f>IF(C1423="","",F1423+G1423+H1423)</x:f>
      </x:c>
      <x:c r="K1423" s="88" t="str">
        <x:f>IF(C1423="","",MAX(0,SUMIFS(SONDERZAHLUNGEN!$E$9:$E$128,SONDERZAHLUNGEN!$B$9:$B$128,C1423,SONDERZAHLUNGEN!$C$9:$C$128,A1423,SONDERZAHLUNGEN!$H$9:$H$128,"OK",SONDERZAHLUNGEN!$F$9:$F$128,"Ja")-G1423))</x:f>
      </x:c>
    </x:row>
    <x:row r="1424" ht="19" customHeight="1">
      <x:c r="A1424" s="90" t="n">
        <x:f>MONATSBUDGET!$A$78</x:f>
        <x:v>48366</x:v>
      </x:c>
      <x:c r="B1424" t="n">
        <x:f>5</x:f>
        <x:v>5</x:v>
      </x:c>
      <x:c r="C1424" t="str">
        <x:f>IF($N$13="","",$N$13)</x:f>
      </x:c>
      <x:c r="D1424" s="88" t="str">
        <x:f>IF(C1424="","",I1404)</x:f>
      </x:c>
      <x:c r="E1424" s="88" t="str">
        <x:f>IF(C1424="","",ROUND(D1424*$P$13/12,2))</x:f>
      </x:c>
      <x:c r="F1424" s="88" t="str">
        <x:f>IF(C1424="","",MIN(D1424+E1424,$Q$13))</x:f>
      </x:c>
      <x:c r="G1424" s="88" t="str">
        <x:f>IF(C1424="","",MIN(MAX(0,D1424+E1424-F1424),SUMIFS(SONDERZAHLUNGEN!$E$9:$E$128,SONDERZAHLUNGEN!$B$9:$B$128,C1424,SONDERZAHLUNGEN!$C$9:$C$128,A1424,SONDERZAHLUNGEN!$H$9:$H$128,"OK",SONDERZAHLUNGEN!$F$9:$F$128,"Ja")))</x:f>
      </x:c>
      <x:c r="H1424" s="88" t="str">
        <x:f>IF(C1424="","",MIN(MAX(0,D1424+E1424-F1424-G1424),MAX(0,IF(MONATSBUDGET!$C$78="",0,MONATSBUDGET!$C$78)-SUM(F1420:F1439)-SUM(H1420:H1423))))</x:f>
      </x:c>
      <x:c r="I1424" s="88" t="str">
        <x:f>IF(C1424="","",MAX(0,ROUND(D1424+E1424-F1424-G1424-H1424,2)))</x:f>
      </x:c>
      <x:c r="J1424" s="88" t="str">
        <x:f>IF(C1424="","",F1424+G1424+H1424)</x:f>
      </x:c>
      <x:c r="K1424" s="88" t="str">
        <x:f>IF(C1424="","",MAX(0,SUMIFS(SONDERZAHLUNGEN!$E$9:$E$128,SONDERZAHLUNGEN!$B$9:$B$128,C1424,SONDERZAHLUNGEN!$C$9:$C$128,A1424,SONDERZAHLUNGEN!$H$9:$H$128,"OK",SONDERZAHLUNGEN!$F$9:$F$128,"Ja")-G1424))</x:f>
      </x:c>
    </x:row>
    <x:row r="1425" ht="19" customHeight="1">
      <x:c r="A1425" s="90" t="n">
        <x:f>MONATSBUDGET!$A$78</x:f>
        <x:v>48366</x:v>
      </x:c>
      <x:c r="B1425" t="n">
        <x:f>6</x:f>
        <x:v>6</x:v>
      </x:c>
      <x:c r="C1425" t="str">
        <x:f>IF($N$14="","",$N$14)</x:f>
      </x:c>
      <x:c r="D1425" s="88" t="str">
        <x:f>IF(C1425="","",I1405)</x:f>
      </x:c>
      <x:c r="E1425" s="88" t="str">
        <x:f>IF(C1425="","",ROUND(D1425*$P$14/12,2))</x:f>
      </x:c>
      <x:c r="F1425" s="88" t="str">
        <x:f>IF(C1425="","",MIN(D1425+E1425,$Q$14))</x:f>
      </x:c>
      <x:c r="G1425" s="88" t="str">
        <x:f>IF(C1425="","",MIN(MAX(0,D1425+E1425-F1425),SUMIFS(SONDERZAHLUNGEN!$E$9:$E$128,SONDERZAHLUNGEN!$B$9:$B$128,C1425,SONDERZAHLUNGEN!$C$9:$C$128,A1425,SONDERZAHLUNGEN!$H$9:$H$128,"OK",SONDERZAHLUNGEN!$F$9:$F$128,"Ja")))</x:f>
      </x:c>
      <x:c r="H1425" s="88" t="str">
        <x:f>IF(C1425="","",MIN(MAX(0,D1425+E1425-F1425-G1425),MAX(0,IF(MONATSBUDGET!$C$78="",0,MONATSBUDGET!$C$78)-SUM(F1420:F1439)-SUM(H1420:H1424))))</x:f>
      </x:c>
      <x:c r="I1425" s="88" t="str">
        <x:f>IF(C1425="","",MAX(0,ROUND(D1425+E1425-F1425-G1425-H1425,2)))</x:f>
      </x:c>
      <x:c r="J1425" s="88" t="str">
        <x:f>IF(C1425="","",F1425+G1425+H1425)</x:f>
      </x:c>
      <x:c r="K1425" s="88" t="str">
        <x:f>IF(C1425="","",MAX(0,SUMIFS(SONDERZAHLUNGEN!$E$9:$E$128,SONDERZAHLUNGEN!$B$9:$B$128,C1425,SONDERZAHLUNGEN!$C$9:$C$128,A1425,SONDERZAHLUNGEN!$H$9:$H$128,"OK",SONDERZAHLUNGEN!$F$9:$F$128,"Ja")-G1425))</x:f>
      </x:c>
    </x:row>
    <x:row r="1426" ht="19" customHeight="1">
      <x:c r="A1426" s="90" t="n">
        <x:f>MONATSBUDGET!$A$78</x:f>
        <x:v>48366</x:v>
      </x:c>
      <x:c r="B1426" t="n">
        <x:f>7</x:f>
        <x:v>7</x:v>
      </x:c>
      <x:c r="C1426" t="str">
        <x:f>IF($N$15="","",$N$15)</x:f>
      </x:c>
      <x:c r="D1426" s="88" t="str">
        <x:f>IF(C1426="","",I1406)</x:f>
      </x:c>
      <x:c r="E1426" s="88" t="str">
        <x:f>IF(C1426="","",ROUND(D1426*$P$15/12,2))</x:f>
      </x:c>
      <x:c r="F1426" s="88" t="str">
        <x:f>IF(C1426="","",MIN(D1426+E1426,$Q$15))</x:f>
      </x:c>
      <x:c r="G1426" s="88" t="str">
        <x:f>IF(C1426="","",MIN(MAX(0,D1426+E1426-F1426),SUMIFS(SONDERZAHLUNGEN!$E$9:$E$128,SONDERZAHLUNGEN!$B$9:$B$128,C1426,SONDERZAHLUNGEN!$C$9:$C$128,A1426,SONDERZAHLUNGEN!$H$9:$H$128,"OK",SONDERZAHLUNGEN!$F$9:$F$128,"Ja")))</x:f>
      </x:c>
      <x:c r="H1426" s="88" t="str">
        <x:f>IF(C1426="","",MIN(MAX(0,D1426+E1426-F1426-G1426),MAX(0,IF(MONATSBUDGET!$C$78="",0,MONATSBUDGET!$C$78)-SUM(F1420:F1439)-SUM(H1420:H1425))))</x:f>
      </x:c>
      <x:c r="I1426" s="88" t="str">
        <x:f>IF(C1426="","",MAX(0,ROUND(D1426+E1426-F1426-G1426-H1426,2)))</x:f>
      </x:c>
      <x:c r="J1426" s="88" t="str">
        <x:f>IF(C1426="","",F1426+G1426+H1426)</x:f>
      </x:c>
      <x:c r="K1426" s="88" t="str">
        <x:f>IF(C1426="","",MAX(0,SUMIFS(SONDERZAHLUNGEN!$E$9:$E$128,SONDERZAHLUNGEN!$B$9:$B$128,C1426,SONDERZAHLUNGEN!$C$9:$C$128,A1426,SONDERZAHLUNGEN!$H$9:$H$128,"OK",SONDERZAHLUNGEN!$F$9:$F$128,"Ja")-G1426))</x:f>
      </x:c>
    </x:row>
    <x:row r="1427" ht="19" customHeight="1">
      <x:c r="A1427" s="90" t="n">
        <x:f>MONATSBUDGET!$A$78</x:f>
        <x:v>48366</x:v>
      </x:c>
      <x:c r="B1427" t="n">
        <x:f>8</x:f>
        <x:v>8</x:v>
      </x:c>
      <x:c r="C1427" t="str">
        <x:f>IF($N$16="","",$N$16)</x:f>
      </x:c>
      <x:c r="D1427" s="88" t="str">
        <x:f>IF(C1427="","",I1407)</x:f>
      </x:c>
      <x:c r="E1427" s="88" t="str">
        <x:f>IF(C1427="","",ROUND(D1427*$P$16/12,2))</x:f>
      </x:c>
      <x:c r="F1427" s="88" t="str">
        <x:f>IF(C1427="","",MIN(D1427+E1427,$Q$16))</x:f>
      </x:c>
      <x:c r="G1427" s="88" t="str">
        <x:f>IF(C1427="","",MIN(MAX(0,D1427+E1427-F1427),SUMIFS(SONDERZAHLUNGEN!$E$9:$E$128,SONDERZAHLUNGEN!$B$9:$B$128,C1427,SONDERZAHLUNGEN!$C$9:$C$128,A1427,SONDERZAHLUNGEN!$H$9:$H$128,"OK",SONDERZAHLUNGEN!$F$9:$F$128,"Ja")))</x:f>
      </x:c>
      <x:c r="H1427" s="88" t="str">
        <x:f>IF(C1427="","",MIN(MAX(0,D1427+E1427-F1427-G1427),MAX(0,IF(MONATSBUDGET!$C$78="",0,MONATSBUDGET!$C$78)-SUM(F1420:F1439)-SUM(H1420:H1426))))</x:f>
      </x:c>
      <x:c r="I1427" s="88" t="str">
        <x:f>IF(C1427="","",MAX(0,ROUND(D1427+E1427-F1427-G1427-H1427,2)))</x:f>
      </x:c>
      <x:c r="J1427" s="88" t="str">
        <x:f>IF(C1427="","",F1427+G1427+H1427)</x:f>
      </x:c>
      <x:c r="K1427" s="88" t="str">
        <x:f>IF(C1427="","",MAX(0,SUMIFS(SONDERZAHLUNGEN!$E$9:$E$128,SONDERZAHLUNGEN!$B$9:$B$128,C1427,SONDERZAHLUNGEN!$C$9:$C$128,A1427,SONDERZAHLUNGEN!$H$9:$H$128,"OK",SONDERZAHLUNGEN!$F$9:$F$128,"Ja")-G1427))</x:f>
      </x:c>
    </x:row>
    <x:row r="1428" ht="19" customHeight="1">
      <x:c r="A1428" s="90" t="n">
        <x:f>MONATSBUDGET!$A$78</x:f>
        <x:v>48366</x:v>
      </x:c>
      <x:c r="B1428" t="n">
        <x:f>9</x:f>
        <x:v>9</x:v>
      </x:c>
      <x:c r="C1428" t="str">
        <x:f>IF($N$17="","",$N$17)</x:f>
      </x:c>
      <x:c r="D1428" s="88" t="str">
        <x:f>IF(C1428="","",I1408)</x:f>
      </x:c>
      <x:c r="E1428" s="88" t="str">
        <x:f>IF(C1428="","",ROUND(D1428*$P$17/12,2))</x:f>
      </x:c>
      <x:c r="F1428" s="88" t="str">
        <x:f>IF(C1428="","",MIN(D1428+E1428,$Q$17))</x:f>
      </x:c>
      <x:c r="G1428" s="88" t="str">
        <x:f>IF(C1428="","",MIN(MAX(0,D1428+E1428-F1428),SUMIFS(SONDERZAHLUNGEN!$E$9:$E$128,SONDERZAHLUNGEN!$B$9:$B$128,C1428,SONDERZAHLUNGEN!$C$9:$C$128,A1428,SONDERZAHLUNGEN!$H$9:$H$128,"OK",SONDERZAHLUNGEN!$F$9:$F$128,"Ja")))</x:f>
      </x:c>
      <x:c r="H1428" s="88" t="str">
        <x:f>IF(C1428="","",MIN(MAX(0,D1428+E1428-F1428-G1428),MAX(0,IF(MONATSBUDGET!$C$78="",0,MONATSBUDGET!$C$78)-SUM(F1420:F1439)-SUM(H1420:H1427))))</x:f>
      </x:c>
      <x:c r="I1428" s="88" t="str">
        <x:f>IF(C1428="","",MAX(0,ROUND(D1428+E1428-F1428-G1428-H1428,2)))</x:f>
      </x:c>
      <x:c r="J1428" s="88" t="str">
        <x:f>IF(C1428="","",F1428+G1428+H1428)</x:f>
      </x:c>
      <x:c r="K1428" s="88" t="str">
        <x:f>IF(C1428="","",MAX(0,SUMIFS(SONDERZAHLUNGEN!$E$9:$E$128,SONDERZAHLUNGEN!$B$9:$B$128,C1428,SONDERZAHLUNGEN!$C$9:$C$128,A1428,SONDERZAHLUNGEN!$H$9:$H$128,"OK",SONDERZAHLUNGEN!$F$9:$F$128,"Ja")-G1428))</x:f>
      </x:c>
    </x:row>
    <x:row r="1429" ht="19" customHeight="1">
      <x:c r="A1429" s="90" t="n">
        <x:f>MONATSBUDGET!$A$78</x:f>
        <x:v>48366</x:v>
      </x:c>
      <x:c r="B1429" t="n">
        <x:f>10</x:f>
        <x:v>10</x:v>
      </x:c>
      <x:c r="C1429" t="str">
        <x:f>IF($N$18="","",$N$18)</x:f>
      </x:c>
      <x:c r="D1429" s="88" t="str">
        <x:f>IF(C1429="","",I1409)</x:f>
      </x:c>
      <x:c r="E1429" s="88" t="str">
        <x:f>IF(C1429="","",ROUND(D1429*$P$18/12,2))</x:f>
      </x:c>
      <x:c r="F1429" s="88" t="str">
        <x:f>IF(C1429="","",MIN(D1429+E1429,$Q$18))</x:f>
      </x:c>
      <x:c r="G1429" s="88" t="str">
        <x:f>IF(C1429="","",MIN(MAX(0,D1429+E1429-F1429),SUMIFS(SONDERZAHLUNGEN!$E$9:$E$128,SONDERZAHLUNGEN!$B$9:$B$128,C1429,SONDERZAHLUNGEN!$C$9:$C$128,A1429,SONDERZAHLUNGEN!$H$9:$H$128,"OK",SONDERZAHLUNGEN!$F$9:$F$128,"Ja")))</x:f>
      </x:c>
      <x:c r="H1429" s="88" t="str">
        <x:f>IF(C1429="","",MIN(MAX(0,D1429+E1429-F1429-G1429),MAX(0,IF(MONATSBUDGET!$C$78="",0,MONATSBUDGET!$C$78)-SUM(F1420:F1439)-SUM(H1420:H1428))))</x:f>
      </x:c>
      <x:c r="I1429" s="88" t="str">
        <x:f>IF(C1429="","",MAX(0,ROUND(D1429+E1429-F1429-G1429-H1429,2)))</x:f>
      </x:c>
      <x:c r="J1429" s="88" t="str">
        <x:f>IF(C1429="","",F1429+G1429+H1429)</x:f>
      </x:c>
      <x:c r="K1429" s="88" t="str">
        <x:f>IF(C1429="","",MAX(0,SUMIFS(SONDERZAHLUNGEN!$E$9:$E$128,SONDERZAHLUNGEN!$B$9:$B$128,C1429,SONDERZAHLUNGEN!$C$9:$C$128,A1429,SONDERZAHLUNGEN!$H$9:$H$128,"OK",SONDERZAHLUNGEN!$F$9:$F$128,"Ja")-G1429))</x:f>
      </x:c>
    </x:row>
    <x:row r="1430" ht="19" customHeight="1">
      <x:c r="A1430" s="90" t="n">
        <x:f>MONATSBUDGET!$A$78</x:f>
        <x:v>48366</x:v>
      </x:c>
      <x:c r="B1430" t="n">
        <x:f>11</x:f>
        <x:v>11</x:v>
      </x:c>
      <x:c r="C1430" t="str">
        <x:f>IF($N$19="","",$N$19)</x:f>
      </x:c>
      <x:c r="D1430" s="88" t="str">
        <x:f>IF(C1430="","",I1410)</x:f>
      </x:c>
      <x:c r="E1430" s="88" t="str">
        <x:f>IF(C1430="","",ROUND(D1430*$P$19/12,2))</x:f>
      </x:c>
      <x:c r="F1430" s="88" t="str">
        <x:f>IF(C1430="","",MIN(D1430+E1430,$Q$19))</x:f>
      </x:c>
      <x:c r="G1430" s="88" t="str">
        <x:f>IF(C1430="","",MIN(MAX(0,D1430+E1430-F1430),SUMIFS(SONDERZAHLUNGEN!$E$9:$E$128,SONDERZAHLUNGEN!$B$9:$B$128,C1430,SONDERZAHLUNGEN!$C$9:$C$128,A1430,SONDERZAHLUNGEN!$H$9:$H$128,"OK",SONDERZAHLUNGEN!$F$9:$F$128,"Ja")))</x:f>
      </x:c>
      <x:c r="H1430" s="88" t="str">
        <x:f>IF(C1430="","",MIN(MAX(0,D1430+E1430-F1430-G1430),MAX(0,IF(MONATSBUDGET!$C$78="",0,MONATSBUDGET!$C$78)-SUM(F1420:F1439)-SUM(H1420:H1429))))</x:f>
      </x:c>
      <x:c r="I1430" s="88" t="str">
        <x:f>IF(C1430="","",MAX(0,ROUND(D1430+E1430-F1430-G1430-H1430,2)))</x:f>
      </x:c>
      <x:c r="J1430" s="88" t="str">
        <x:f>IF(C1430="","",F1430+G1430+H1430)</x:f>
      </x:c>
      <x:c r="K1430" s="88" t="str">
        <x:f>IF(C1430="","",MAX(0,SUMIFS(SONDERZAHLUNGEN!$E$9:$E$128,SONDERZAHLUNGEN!$B$9:$B$128,C1430,SONDERZAHLUNGEN!$C$9:$C$128,A1430,SONDERZAHLUNGEN!$H$9:$H$128,"OK",SONDERZAHLUNGEN!$F$9:$F$128,"Ja")-G1430))</x:f>
      </x:c>
    </x:row>
    <x:row r="1431" ht="19" customHeight="1">
      <x:c r="A1431" s="90" t="n">
        <x:f>MONATSBUDGET!$A$78</x:f>
        <x:v>48366</x:v>
      </x:c>
      <x:c r="B1431" t="n">
        <x:f>12</x:f>
        <x:v>12</x:v>
      </x:c>
      <x:c r="C1431" t="str">
        <x:f>IF($N$20="","",$N$20)</x:f>
      </x:c>
      <x:c r="D1431" s="88" t="str">
        <x:f>IF(C1431="","",I1411)</x:f>
      </x:c>
      <x:c r="E1431" s="88" t="str">
        <x:f>IF(C1431="","",ROUND(D1431*$P$20/12,2))</x:f>
      </x:c>
      <x:c r="F1431" s="88" t="str">
        <x:f>IF(C1431="","",MIN(D1431+E1431,$Q$20))</x:f>
      </x:c>
      <x:c r="G1431" s="88" t="str">
        <x:f>IF(C1431="","",MIN(MAX(0,D1431+E1431-F1431),SUMIFS(SONDERZAHLUNGEN!$E$9:$E$128,SONDERZAHLUNGEN!$B$9:$B$128,C1431,SONDERZAHLUNGEN!$C$9:$C$128,A1431,SONDERZAHLUNGEN!$H$9:$H$128,"OK",SONDERZAHLUNGEN!$F$9:$F$128,"Ja")))</x:f>
      </x:c>
      <x:c r="H1431" s="88" t="str">
        <x:f>IF(C1431="","",MIN(MAX(0,D1431+E1431-F1431-G1431),MAX(0,IF(MONATSBUDGET!$C$78="",0,MONATSBUDGET!$C$78)-SUM(F1420:F1439)-SUM(H1420:H1430))))</x:f>
      </x:c>
      <x:c r="I1431" s="88" t="str">
        <x:f>IF(C1431="","",MAX(0,ROUND(D1431+E1431-F1431-G1431-H1431,2)))</x:f>
      </x:c>
      <x:c r="J1431" s="88" t="str">
        <x:f>IF(C1431="","",F1431+G1431+H1431)</x:f>
      </x:c>
      <x:c r="K1431" s="88" t="str">
        <x:f>IF(C1431="","",MAX(0,SUMIFS(SONDERZAHLUNGEN!$E$9:$E$128,SONDERZAHLUNGEN!$B$9:$B$128,C1431,SONDERZAHLUNGEN!$C$9:$C$128,A1431,SONDERZAHLUNGEN!$H$9:$H$128,"OK",SONDERZAHLUNGEN!$F$9:$F$128,"Ja")-G1431))</x:f>
      </x:c>
    </x:row>
    <x:row r="1432" ht="19" customHeight="1">
      <x:c r="A1432" s="90" t="n">
        <x:f>MONATSBUDGET!$A$78</x:f>
        <x:v>48366</x:v>
      </x:c>
      <x:c r="B1432" t="n">
        <x:f>13</x:f>
        <x:v>13</x:v>
      </x:c>
      <x:c r="C1432" t="str">
        <x:f>IF($N$21="","",$N$21)</x:f>
      </x:c>
      <x:c r="D1432" s="88" t="str">
        <x:f>IF(C1432="","",I1412)</x:f>
      </x:c>
      <x:c r="E1432" s="88" t="str">
        <x:f>IF(C1432="","",ROUND(D1432*$P$21/12,2))</x:f>
      </x:c>
      <x:c r="F1432" s="88" t="str">
        <x:f>IF(C1432="","",MIN(D1432+E1432,$Q$21))</x:f>
      </x:c>
      <x:c r="G1432" s="88" t="str">
        <x:f>IF(C1432="","",MIN(MAX(0,D1432+E1432-F1432),SUMIFS(SONDERZAHLUNGEN!$E$9:$E$128,SONDERZAHLUNGEN!$B$9:$B$128,C1432,SONDERZAHLUNGEN!$C$9:$C$128,A1432,SONDERZAHLUNGEN!$H$9:$H$128,"OK",SONDERZAHLUNGEN!$F$9:$F$128,"Ja")))</x:f>
      </x:c>
      <x:c r="H1432" s="88" t="str">
        <x:f>IF(C1432="","",MIN(MAX(0,D1432+E1432-F1432-G1432),MAX(0,IF(MONATSBUDGET!$C$78="",0,MONATSBUDGET!$C$78)-SUM(F1420:F1439)-SUM(H1420:H1431))))</x:f>
      </x:c>
      <x:c r="I1432" s="88" t="str">
        <x:f>IF(C1432="","",MAX(0,ROUND(D1432+E1432-F1432-G1432-H1432,2)))</x:f>
      </x:c>
      <x:c r="J1432" s="88" t="str">
        <x:f>IF(C1432="","",F1432+G1432+H1432)</x:f>
      </x:c>
      <x:c r="K1432" s="88" t="str">
        <x:f>IF(C1432="","",MAX(0,SUMIFS(SONDERZAHLUNGEN!$E$9:$E$128,SONDERZAHLUNGEN!$B$9:$B$128,C1432,SONDERZAHLUNGEN!$C$9:$C$128,A1432,SONDERZAHLUNGEN!$H$9:$H$128,"OK",SONDERZAHLUNGEN!$F$9:$F$128,"Ja")-G1432))</x:f>
      </x:c>
    </x:row>
    <x:row r="1433" ht="19" customHeight="1">
      <x:c r="A1433" s="90" t="n">
        <x:f>MONATSBUDGET!$A$78</x:f>
        <x:v>48366</x:v>
      </x:c>
      <x:c r="B1433" t="n">
        <x:f>14</x:f>
        <x:v>14</x:v>
      </x:c>
      <x:c r="C1433" t="str">
        <x:f>IF($N$22="","",$N$22)</x:f>
      </x:c>
      <x:c r="D1433" s="88" t="str">
        <x:f>IF(C1433="","",I1413)</x:f>
      </x:c>
      <x:c r="E1433" s="88" t="str">
        <x:f>IF(C1433="","",ROUND(D1433*$P$22/12,2))</x:f>
      </x:c>
      <x:c r="F1433" s="88" t="str">
        <x:f>IF(C1433="","",MIN(D1433+E1433,$Q$22))</x:f>
      </x:c>
      <x:c r="G1433" s="88" t="str">
        <x:f>IF(C1433="","",MIN(MAX(0,D1433+E1433-F1433),SUMIFS(SONDERZAHLUNGEN!$E$9:$E$128,SONDERZAHLUNGEN!$B$9:$B$128,C1433,SONDERZAHLUNGEN!$C$9:$C$128,A1433,SONDERZAHLUNGEN!$H$9:$H$128,"OK",SONDERZAHLUNGEN!$F$9:$F$128,"Ja")))</x:f>
      </x:c>
      <x:c r="H1433" s="88" t="str">
        <x:f>IF(C1433="","",MIN(MAX(0,D1433+E1433-F1433-G1433),MAX(0,IF(MONATSBUDGET!$C$78="",0,MONATSBUDGET!$C$78)-SUM(F1420:F1439)-SUM(H1420:H1432))))</x:f>
      </x:c>
      <x:c r="I1433" s="88" t="str">
        <x:f>IF(C1433="","",MAX(0,ROUND(D1433+E1433-F1433-G1433-H1433,2)))</x:f>
      </x:c>
      <x:c r="J1433" s="88" t="str">
        <x:f>IF(C1433="","",F1433+G1433+H1433)</x:f>
      </x:c>
      <x:c r="K1433" s="88" t="str">
        <x:f>IF(C1433="","",MAX(0,SUMIFS(SONDERZAHLUNGEN!$E$9:$E$128,SONDERZAHLUNGEN!$B$9:$B$128,C1433,SONDERZAHLUNGEN!$C$9:$C$128,A1433,SONDERZAHLUNGEN!$H$9:$H$128,"OK",SONDERZAHLUNGEN!$F$9:$F$128,"Ja")-G1433))</x:f>
      </x:c>
    </x:row>
    <x:row r="1434" ht="19" customHeight="1">
      <x:c r="A1434" s="90" t="n">
        <x:f>MONATSBUDGET!$A$78</x:f>
        <x:v>48366</x:v>
      </x:c>
      <x:c r="B1434" t="n">
        <x:f>15</x:f>
        <x:v>15</x:v>
      </x:c>
      <x:c r="C1434" t="str">
        <x:f>IF($N$23="","",$N$23)</x:f>
      </x:c>
      <x:c r="D1434" s="88" t="str">
        <x:f>IF(C1434="","",I1414)</x:f>
      </x:c>
      <x:c r="E1434" s="88" t="str">
        <x:f>IF(C1434="","",ROUND(D1434*$P$23/12,2))</x:f>
      </x:c>
      <x:c r="F1434" s="88" t="str">
        <x:f>IF(C1434="","",MIN(D1434+E1434,$Q$23))</x:f>
      </x:c>
      <x:c r="G1434" s="88" t="str">
        <x:f>IF(C1434="","",MIN(MAX(0,D1434+E1434-F1434),SUMIFS(SONDERZAHLUNGEN!$E$9:$E$128,SONDERZAHLUNGEN!$B$9:$B$128,C1434,SONDERZAHLUNGEN!$C$9:$C$128,A1434,SONDERZAHLUNGEN!$H$9:$H$128,"OK",SONDERZAHLUNGEN!$F$9:$F$128,"Ja")))</x:f>
      </x:c>
      <x:c r="H1434" s="88" t="str">
        <x:f>IF(C1434="","",MIN(MAX(0,D1434+E1434-F1434-G1434),MAX(0,IF(MONATSBUDGET!$C$78="",0,MONATSBUDGET!$C$78)-SUM(F1420:F1439)-SUM(H1420:H1433))))</x:f>
      </x:c>
      <x:c r="I1434" s="88" t="str">
        <x:f>IF(C1434="","",MAX(0,ROUND(D1434+E1434-F1434-G1434-H1434,2)))</x:f>
      </x:c>
      <x:c r="J1434" s="88" t="str">
        <x:f>IF(C1434="","",F1434+G1434+H1434)</x:f>
      </x:c>
      <x:c r="K1434" s="88" t="str">
        <x:f>IF(C1434="","",MAX(0,SUMIFS(SONDERZAHLUNGEN!$E$9:$E$128,SONDERZAHLUNGEN!$B$9:$B$128,C1434,SONDERZAHLUNGEN!$C$9:$C$128,A1434,SONDERZAHLUNGEN!$H$9:$H$128,"OK",SONDERZAHLUNGEN!$F$9:$F$128,"Ja")-G1434))</x:f>
      </x:c>
    </x:row>
    <x:row r="1435" ht="19" customHeight="1">
      <x:c r="A1435" s="90" t="n">
        <x:f>MONATSBUDGET!$A$78</x:f>
        <x:v>48366</x:v>
      </x:c>
      <x:c r="B1435" t="n">
        <x:f>16</x:f>
        <x:v>16</x:v>
      </x:c>
      <x:c r="C1435" t="str">
        <x:f>IF($N$24="","",$N$24)</x:f>
      </x:c>
      <x:c r="D1435" s="88" t="str">
        <x:f>IF(C1435="","",I1415)</x:f>
      </x:c>
      <x:c r="E1435" s="88" t="str">
        <x:f>IF(C1435="","",ROUND(D1435*$P$24/12,2))</x:f>
      </x:c>
      <x:c r="F1435" s="88" t="str">
        <x:f>IF(C1435="","",MIN(D1435+E1435,$Q$24))</x:f>
      </x:c>
      <x:c r="G1435" s="88" t="str">
        <x:f>IF(C1435="","",MIN(MAX(0,D1435+E1435-F1435),SUMIFS(SONDERZAHLUNGEN!$E$9:$E$128,SONDERZAHLUNGEN!$B$9:$B$128,C1435,SONDERZAHLUNGEN!$C$9:$C$128,A1435,SONDERZAHLUNGEN!$H$9:$H$128,"OK",SONDERZAHLUNGEN!$F$9:$F$128,"Ja")))</x:f>
      </x:c>
      <x:c r="H1435" s="88" t="str">
        <x:f>IF(C1435="","",MIN(MAX(0,D1435+E1435-F1435-G1435),MAX(0,IF(MONATSBUDGET!$C$78="",0,MONATSBUDGET!$C$78)-SUM(F1420:F1439)-SUM(H1420:H1434))))</x:f>
      </x:c>
      <x:c r="I1435" s="88" t="str">
        <x:f>IF(C1435="","",MAX(0,ROUND(D1435+E1435-F1435-G1435-H1435,2)))</x:f>
      </x:c>
      <x:c r="J1435" s="88" t="str">
        <x:f>IF(C1435="","",F1435+G1435+H1435)</x:f>
      </x:c>
      <x:c r="K1435" s="88" t="str">
        <x:f>IF(C1435="","",MAX(0,SUMIFS(SONDERZAHLUNGEN!$E$9:$E$128,SONDERZAHLUNGEN!$B$9:$B$128,C1435,SONDERZAHLUNGEN!$C$9:$C$128,A1435,SONDERZAHLUNGEN!$H$9:$H$128,"OK",SONDERZAHLUNGEN!$F$9:$F$128,"Ja")-G1435))</x:f>
      </x:c>
    </x:row>
    <x:row r="1436" ht="19" customHeight="1">
      <x:c r="A1436" s="90" t="n">
        <x:f>MONATSBUDGET!$A$78</x:f>
        <x:v>48366</x:v>
      </x:c>
      <x:c r="B1436" t="n">
        <x:f>17</x:f>
        <x:v>17</x:v>
      </x:c>
      <x:c r="C1436" t="str">
        <x:f>IF($N$25="","",$N$25)</x:f>
      </x:c>
      <x:c r="D1436" s="88" t="str">
        <x:f>IF(C1436="","",I1416)</x:f>
      </x:c>
      <x:c r="E1436" s="88" t="str">
        <x:f>IF(C1436="","",ROUND(D1436*$P$25/12,2))</x:f>
      </x:c>
      <x:c r="F1436" s="88" t="str">
        <x:f>IF(C1436="","",MIN(D1436+E1436,$Q$25))</x:f>
      </x:c>
      <x:c r="G1436" s="88" t="str">
        <x:f>IF(C1436="","",MIN(MAX(0,D1436+E1436-F1436),SUMIFS(SONDERZAHLUNGEN!$E$9:$E$128,SONDERZAHLUNGEN!$B$9:$B$128,C1436,SONDERZAHLUNGEN!$C$9:$C$128,A1436,SONDERZAHLUNGEN!$H$9:$H$128,"OK",SONDERZAHLUNGEN!$F$9:$F$128,"Ja")))</x:f>
      </x:c>
      <x:c r="H1436" s="88" t="str">
        <x:f>IF(C1436="","",MIN(MAX(0,D1436+E1436-F1436-G1436),MAX(0,IF(MONATSBUDGET!$C$78="",0,MONATSBUDGET!$C$78)-SUM(F1420:F1439)-SUM(H1420:H1435))))</x:f>
      </x:c>
      <x:c r="I1436" s="88" t="str">
        <x:f>IF(C1436="","",MAX(0,ROUND(D1436+E1436-F1436-G1436-H1436,2)))</x:f>
      </x:c>
      <x:c r="J1436" s="88" t="str">
        <x:f>IF(C1436="","",F1436+G1436+H1436)</x:f>
      </x:c>
      <x:c r="K1436" s="88" t="str">
        <x:f>IF(C1436="","",MAX(0,SUMIFS(SONDERZAHLUNGEN!$E$9:$E$128,SONDERZAHLUNGEN!$B$9:$B$128,C1436,SONDERZAHLUNGEN!$C$9:$C$128,A1436,SONDERZAHLUNGEN!$H$9:$H$128,"OK",SONDERZAHLUNGEN!$F$9:$F$128,"Ja")-G1436))</x:f>
      </x:c>
    </x:row>
    <x:row r="1437" ht="19" customHeight="1">
      <x:c r="A1437" s="90" t="n">
        <x:f>MONATSBUDGET!$A$78</x:f>
        <x:v>48366</x:v>
      </x:c>
      <x:c r="B1437" t="n">
        <x:f>18</x:f>
        <x:v>18</x:v>
      </x:c>
      <x:c r="C1437" t="str">
        <x:f>IF($N$26="","",$N$26)</x:f>
      </x:c>
      <x:c r="D1437" s="88" t="str">
        <x:f>IF(C1437="","",I1417)</x:f>
      </x:c>
      <x:c r="E1437" s="88" t="str">
        <x:f>IF(C1437="","",ROUND(D1437*$P$26/12,2))</x:f>
      </x:c>
      <x:c r="F1437" s="88" t="str">
        <x:f>IF(C1437="","",MIN(D1437+E1437,$Q$26))</x:f>
      </x:c>
      <x:c r="G1437" s="88" t="str">
        <x:f>IF(C1437="","",MIN(MAX(0,D1437+E1437-F1437),SUMIFS(SONDERZAHLUNGEN!$E$9:$E$128,SONDERZAHLUNGEN!$B$9:$B$128,C1437,SONDERZAHLUNGEN!$C$9:$C$128,A1437,SONDERZAHLUNGEN!$H$9:$H$128,"OK",SONDERZAHLUNGEN!$F$9:$F$128,"Ja")))</x:f>
      </x:c>
      <x:c r="H1437" s="88" t="str">
        <x:f>IF(C1437="","",MIN(MAX(0,D1437+E1437-F1437-G1437),MAX(0,IF(MONATSBUDGET!$C$78="",0,MONATSBUDGET!$C$78)-SUM(F1420:F1439)-SUM(H1420:H1436))))</x:f>
      </x:c>
      <x:c r="I1437" s="88" t="str">
        <x:f>IF(C1437="","",MAX(0,ROUND(D1437+E1437-F1437-G1437-H1437,2)))</x:f>
      </x:c>
      <x:c r="J1437" s="88" t="str">
        <x:f>IF(C1437="","",F1437+G1437+H1437)</x:f>
      </x:c>
      <x:c r="K1437" s="88" t="str">
        <x:f>IF(C1437="","",MAX(0,SUMIFS(SONDERZAHLUNGEN!$E$9:$E$128,SONDERZAHLUNGEN!$B$9:$B$128,C1437,SONDERZAHLUNGEN!$C$9:$C$128,A1437,SONDERZAHLUNGEN!$H$9:$H$128,"OK",SONDERZAHLUNGEN!$F$9:$F$128,"Ja")-G1437))</x:f>
      </x:c>
    </x:row>
    <x:row r="1438" ht="19" customHeight="1">
      <x:c r="A1438" s="90" t="n">
        <x:f>MONATSBUDGET!$A$78</x:f>
        <x:v>48366</x:v>
      </x:c>
      <x:c r="B1438" t="n">
        <x:f>19</x:f>
        <x:v>19</x:v>
      </x:c>
      <x:c r="C1438" t="str">
        <x:f>IF($N$27="","",$N$27)</x:f>
      </x:c>
      <x:c r="D1438" s="88" t="str">
        <x:f>IF(C1438="","",I1418)</x:f>
      </x:c>
      <x:c r="E1438" s="88" t="str">
        <x:f>IF(C1438="","",ROUND(D1438*$P$27/12,2))</x:f>
      </x:c>
      <x:c r="F1438" s="88" t="str">
        <x:f>IF(C1438="","",MIN(D1438+E1438,$Q$27))</x:f>
      </x:c>
      <x:c r="G1438" s="88" t="str">
        <x:f>IF(C1438="","",MIN(MAX(0,D1438+E1438-F1438),SUMIFS(SONDERZAHLUNGEN!$E$9:$E$128,SONDERZAHLUNGEN!$B$9:$B$128,C1438,SONDERZAHLUNGEN!$C$9:$C$128,A1438,SONDERZAHLUNGEN!$H$9:$H$128,"OK",SONDERZAHLUNGEN!$F$9:$F$128,"Ja")))</x:f>
      </x:c>
      <x:c r="H1438" s="88" t="str">
        <x:f>IF(C1438="","",MIN(MAX(0,D1438+E1438-F1438-G1438),MAX(0,IF(MONATSBUDGET!$C$78="",0,MONATSBUDGET!$C$78)-SUM(F1420:F1439)-SUM(H1420:H1437))))</x:f>
      </x:c>
      <x:c r="I1438" s="88" t="str">
        <x:f>IF(C1438="","",MAX(0,ROUND(D1438+E1438-F1438-G1438-H1438,2)))</x:f>
      </x:c>
      <x:c r="J1438" s="88" t="str">
        <x:f>IF(C1438="","",F1438+G1438+H1438)</x:f>
      </x:c>
      <x:c r="K1438" s="88" t="str">
        <x:f>IF(C1438="","",MAX(0,SUMIFS(SONDERZAHLUNGEN!$E$9:$E$128,SONDERZAHLUNGEN!$B$9:$B$128,C1438,SONDERZAHLUNGEN!$C$9:$C$128,A1438,SONDERZAHLUNGEN!$H$9:$H$128,"OK",SONDERZAHLUNGEN!$F$9:$F$128,"Ja")-G1438))</x:f>
      </x:c>
    </x:row>
    <x:row r="1439" ht="19" customHeight="1">
      <x:c r="A1439" s="90" t="n">
        <x:f>MONATSBUDGET!$A$78</x:f>
        <x:v>48366</x:v>
      </x:c>
      <x:c r="B1439" t="n">
        <x:f>20</x:f>
        <x:v>20</x:v>
      </x:c>
      <x:c r="C1439" t="str">
        <x:f>IF($N$28="","",$N$28)</x:f>
      </x:c>
      <x:c r="D1439" s="88" t="str">
        <x:f>IF(C1439="","",I1419)</x:f>
      </x:c>
      <x:c r="E1439" s="88" t="str">
        <x:f>IF(C1439="","",ROUND(D1439*$P$28/12,2))</x:f>
      </x:c>
      <x:c r="F1439" s="88" t="str">
        <x:f>IF(C1439="","",MIN(D1439+E1439,$Q$28))</x:f>
      </x:c>
      <x:c r="G1439" s="88" t="str">
        <x:f>IF(C1439="","",MIN(MAX(0,D1439+E1439-F1439),SUMIFS(SONDERZAHLUNGEN!$E$9:$E$128,SONDERZAHLUNGEN!$B$9:$B$128,C1439,SONDERZAHLUNGEN!$C$9:$C$128,A1439,SONDERZAHLUNGEN!$H$9:$H$128,"OK",SONDERZAHLUNGEN!$F$9:$F$128,"Ja")))</x:f>
      </x:c>
      <x:c r="H1439" s="88" t="str">
        <x:f>IF(C1439="","",MIN(MAX(0,D1439+E1439-F1439-G1439),MAX(0,IF(MONATSBUDGET!$C$78="",0,MONATSBUDGET!$C$78)-SUM(F1420:F1439)-SUM(H1420:H1438))))</x:f>
      </x:c>
      <x:c r="I1439" s="88" t="str">
        <x:f>IF(C1439="","",MAX(0,ROUND(D1439+E1439-F1439-G1439-H1439,2)))</x:f>
      </x:c>
      <x:c r="J1439" s="88" t="str">
        <x:f>IF(C1439="","",F1439+G1439+H1439)</x:f>
      </x:c>
      <x:c r="K1439" s="88" t="str">
        <x:f>IF(C1439="","",MAX(0,SUMIFS(SONDERZAHLUNGEN!$E$9:$E$128,SONDERZAHLUNGEN!$B$9:$B$128,C1439,SONDERZAHLUNGEN!$C$9:$C$128,A1439,SONDERZAHLUNGEN!$H$9:$H$128,"OK",SONDERZAHLUNGEN!$F$9:$F$128,"Ja")-G1439))</x:f>
      </x:c>
    </x:row>
    <x:row r="1440" ht="19" customHeight="1">
      <x:c r="A1440" s="90" t="n">
        <x:f>MONATSBUDGET!$A$79</x:f>
        <x:v>48396</x:v>
      </x:c>
      <x:c r="B1440" t="n">
        <x:f>1</x:f>
        <x:v>1</x:v>
      </x:c>
      <x:c r="C1440" t="str">
        <x:f>IF($N$9="","",$N$9)</x:f>
      </x:c>
      <x:c r="D1440" s="88" t="str">
        <x:f>IF(C1440="","",I1420)</x:f>
      </x:c>
      <x:c r="E1440" s="88" t="str">
        <x:f>IF(C1440="","",ROUND(D1440*$P$9/12,2))</x:f>
      </x:c>
      <x:c r="F1440" s="88" t="str">
        <x:f>IF(C1440="","",MIN(D1440+E1440,$Q$9))</x:f>
      </x:c>
      <x:c r="G1440" s="88" t="str">
        <x:f>IF(C1440="","",MIN(MAX(0,D1440+E1440-F1440),SUMIFS(SONDERZAHLUNGEN!$E$9:$E$128,SONDERZAHLUNGEN!$B$9:$B$128,C1440,SONDERZAHLUNGEN!$C$9:$C$128,A1440,SONDERZAHLUNGEN!$H$9:$H$128,"OK",SONDERZAHLUNGEN!$F$9:$F$128,"Ja")))</x:f>
      </x:c>
      <x:c r="H1440" s="88" t="str">
        <x:f>IF(C1440="","",MIN(MAX(0,D1440+E1440-F1440-G1440),MAX(0,IF(MONATSBUDGET!$C$79="",0,MONATSBUDGET!$C$79)-SUM(F1440:F1459)-0)))</x:f>
      </x:c>
      <x:c r="I1440" s="88" t="str">
        <x:f>IF(C1440="","",MAX(0,ROUND(D1440+E1440-F1440-G1440-H1440,2)))</x:f>
      </x:c>
      <x:c r="J1440" s="88" t="str">
        <x:f>IF(C1440="","",F1440+G1440+H1440)</x:f>
      </x:c>
      <x:c r="K1440" s="88" t="str">
        <x:f>IF(C1440="","",MAX(0,SUMIFS(SONDERZAHLUNGEN!$E$9:$E$128,SONDERZAHLUNGEN!$B$9:$B$128,C1440,SONDERZAHLUNGEN!$C$9:$C$128,A1440,SONDERZAHLUNGEN!$H$9:$H$128,"OK",SONDERZAHLUNGEN!$F$9:$F$128,"Ja")-G1440))</x:f>
      </x:c>
    </x:row>
    <x:row r="1441" ht="19" customHeight="1">
      <x:c r="A1441" s="90" t="n">
        <x:f>MONATSBUDGET!$A$79</x:f>
        <x:v>48396</x:v>
      </x:c>
      <x:c r="B1441" t="n">
        <x:f>2</x:f>
        <x:v>2</x:v>
      </x:c>
      <x:c r="C1441" t="str">
        <x:f>IF($N$10="","",$N$10)</x:f>
      </x:c>
      <x:c r="D1441" s="88" t="str">
        <x:f>IF(C1441="","",I1421)</x:f>
      </x:c>
      <x:c r="E1441" s="88" t="str">
        <x:f>IF(C1441="","",ROUND(D1441*$P$10/12,2))</x:f>
      </x:c>
      <x:c r="F1441" s="88" t="str">
        <x:f>IF(C1441="","",MIN(D1441+E1441,$Q$10))</x:f>
      </x:c>
      <x:c r="G1441" s="88" t="str">
        <x:f>IF(C1441="","",MIN(MAX(0,D1441+E1441-F1441),SUMIFS(SONDERZAHLUNGEN!$E$9:$E$128,SONDERZAHLUNGEN!$B$9:$B$128,C1441,SONDERZAHLUNGEN!$C$9:$C$128,A1441,SONDERZAHLUNGEN!$H$9:$H$128,"OK",SONDERZAHLUNGEN!$F$9:$F$128,"Ja")))</x:f>
      </x:c>
      <x:c r="H1441" s="88" t="str">
        <x:f>IF(C1441="","",MIN(MAX(0,D1441+E1441-F1441-G1441),MAX(0,IF(MONATSBUDGET!$C$79="",0,MONATSBUDGET!$C$79)-SUM(F1440:F1459)-SUM(H1440:H1440))))</x:f>
      </x:c>
      <x:c r="I1441" s="88" t="str">
        <x:f>IF(C1441="","",MAX(0,ROUND(D1441+E1441-F1441-G1441-H1441,2)))</x:f>
      </x:c>
      <x:c r="J1441" s="88" t="str">
        <x:f>IF(C1441="","",F1441+G1441+H1441)</x:f>
      </x:c>
      <x:c r="K1441" s="88" t="str">
        <x:f>IF(C1441="","",MAX(0,SUMIFS(SONDERZAHLUNGEN!$E$9:$E$128,SONDERZAHLUNGEN!$B$9:$B$128,C1441,SONDERZAHLUNGEN!$C$9:$C$128,A1441,SONDERZAHLUNGEN!$H$9:$H$128,"OK",SONDERZAHLUNGEN!$F$9:$F$128,"Ja")-G1441))</x:f>
      </x:c>
    </x:row>
    <x:row r="1442" ht="19" customHeight="1">
      <x:c r="A1442" s="90" t="n">
        <x:f>MONATSBUDGET!$A$79</x:f>
        <x:v>48396</x:v>
      </x:c>
      <x:c r="B1442" t="n">
        <x:f>3</x:f>
        <x:v>3</x:v>
      </x:c>
      <x:c r="C1442" t="str">
        <x:f>IF($N$11="","",$N$11)</x:f>
      </x:c>
      <x:c r="D1442" s="88" t="str">
        <x:f>IF(C1442="","",I1422)</x:f>
      </x:c>
      <x:c r="E1442" s="88" t="str">
        <x:f>IF(C1442="","",ROUND(D1442*$P$11/12,2))</x:f>
      </x:c>
      <x:c r="F1442" s="88" t="str">
        <x:f>IF(C1442="","",MIN(D1442+E1442,$Q$11))</x:f>
      </x:c>
      <x:c r="G1442" s="88" t="str">
        <x:f>IF(C1442="","",MIN(MAX(0,D1442+E1442-F1442),SUMIFS(SONDERZAHLUNGEN!$E$9:$E$128,SONDERZAHLUNGEN!$B$9:$B$128,C1442,SONDERZAHLUNGEN!$C$9:$C$128,A1442,SONDERZAHLUNGEN!$H$9:$H$128,"OK",SONDERZAHLUNGEN!$F$9:$F$128,"Ja")))</x:f>
      </x:c>
      <x:c r="H1442" s="88" t="str">
        <x:f>IF(C1442="","",MIN(MAX(0,D1442+E1442-F1442-G1442),MAX(0,IF(MONATSBUDGET!$C$79="",0,MONATSBUDGET!$C$79)-SUM(F1440:F1459)-SUM(H1440:H1441))))</x:f>
      </x:c>
      <x:c r="I1442" s="88" t="str">
        <x:f>IF(C1442="","",MAX(0,ROUND(D1442+E1442-F1442-G1442-H1442,2)))</x:f>
      </x:c>
      <x:c r="J1442" s="88" t="str">
        <x:f>IF(C1442="","",F1442+G1442+H1442)</x:f>
      </x:c>
      <x:c r="K1442" s="88" t="str">
        <x:f>IF(C1442="","",MAX(0,SUMIFS(SONDERZAHLUNGEN!$E$9:$E$128,SONDERZAHLUNGEN!$B$9:$B$128,C1442,SONDERZAHLUNGEN!$C$9:$C$128,A1442,SONDERZAHLUNGEN!$H$9:$H$128,"OK",SONDERZAHLUNGEN!$F$9:$F$128,"Ja")-G1442))</x:f>
      </x:c>
    </x:row>
    <x:row r="1443" ht="19" customHeight="1">
      <x:c r="A1443" s="90" t="n">
        <x:f>MONATSBUDGET!$A$79</x:f>
        <x:v>48396</x:v>
      </x:c>
      <x:c r="B1443" t="n">
        <x:f>4</x:f>
        <x:v>4</x:v>
      </x:c>
      <x:c r="C1443" t="str">
        <x:f>IF($N$12="","",$N$12)</x:f>
      </x:c>
      <x:c r="D1443" s="88" t="str">
        <x:f>IF(C1443="","",I1423)</x:f>
      </x:c>
      <x:c r="E1443" s="88" t="str">
        <x:f>IF(C1443="","",ROUND(D1443*$P$12/12,2))</x:f>
      </x:c>
      <x:c r="F1443" s="88" t="str">
        <x:f>IF(C1443="","",MIN(D1443+E1443,$Q$12))</x:f>
      </x:c>
      <x:c r="G1443" s="88" t="str">
        <x:f>IF(C1443="","",MIN(MAX(0,D1443+E1443-F1443),SUMIFS(SONDERZAHLUNGEN!$E$9:$E$128,SONDERZAHLUNGEN!$B$9:$B$128,C1443,SONDERZAHLUNGEN!$C$9:$C$128,A1443,SONDERZAHLUNGEN!$H$9:$H$128,"OK",SONDERZAHLUNGEN!$F$9:$F$128,"Ja")))</x:f>
      </x:c>
      <x:c r="H1443" s="88" t="str">
        <x:f>IF(C1443="","",MIN(MAX(0,D1443+E1443-F1443-G1443),MAX(0,IF(MONATSBUDGET!$C$79="",0,MONATSBUDGET!$C$79)-SUM(F1440:F1459)-SUM(H1440:H1442))))</x:f>
      </x:c>
      <x:c r="I1443" s="88" t="str">
        <x:f>IF(C1443="","",MAX(0,ROUND(D1443+E1443-F1443-G1443-H1443,2)))</x:f>
      </x:c>
      <x:c r="J1443" s="88" t="str">
        <x:f>IF(C1443="","",F1443+G1443+H1443)</x:f>
      </x:c>
      <x:c r="K1443" s="88" t="str">
        <x:f>IF(C1443="","",MAX(0,SUMIFS(SONDERZAHLUNGEN!$E$9:$E$128,SONDERZAHLUNGEN!$B$9:$B$128,C1443,SONDERZAHLUNGEN!$C$9:$C$128,A1443,SONDERZAHLUNGEN!$H$9:$H$128,"OK",SONDERZAHLUNGEN!$F$9:$F$128,"Ja")-G1443))</x:f>
      </x:c>
    </x:row>
    <x:row r="1444" ht="19" customHeight="1">
      <x:c r="A1444" s="90" t="n">
        <x:f>MONATSBUDGET!$A$79</x:f>
        <x:v>48396</x:v>
      </x:c>
      <x:c r="B1444" t="n">
        <x:f>5</x:f>
        <x:v>5</x:v>
      </x:c>
      <x:c r="C1444" t="str">
        <x:f>IF($N$13="","",$N$13)</x:f>
      </x:c>
      <x:c r="D1444" s="88" t="str">
        <x:f>IF(C1444="","",I1424)</x:f>
      </x:c>
      <x:c r="E1444" s="88" t="str">
        <x:f>IF(C1444="","",ROUND(D1444*$P$13/12,2))</x:f>
      </x:c>
      <x:c r="F1444" s="88" t="str">
        <x:f>IF(C1444="","",MIN(D1444+E1444,$Q$13))</x:f>
      </x:c>
      <x:c r="G1444" s="88" t="str">
        <x:f>IF(C1444="","",MIN(MAX(0,D1444+E1444-F1444),SUMIFS(SONDERZAHLUNGEN!$E$9:$E$128,SONDERZAHLUNGEN!$B$9:$B$128,C1444,SONDERZAHLUNGEN!$C$9:$C$128,A1444,SONDERZAHLUNGEN!$H$9:$H$128,"OK",SONDERZAHLUNGEN!$F$9:$F$128,"Ja")))</x:f>
      </x:c>
      <x:c r="H1444" s="88" t="str">
        <x:f>IF(C1444="","",MIN(MAX(0,D1444+E1444-F1444-G1444),MAX(0,IF(MONATSBUDGET!$C$79="",0,MONATSBUDGET!$C$79)-SUM(F1440:F1459)-SUM(H1440:H1443))))</x:f>
      </x:c>
      <x:c r="I1444" s="88" t="str">
        <x:f>IF(C1444="","",MAX(0,ROUND(D1444+E1444-F1444-G1444-H1444,2)))</x:f>
      </x:c>
      <x:c r="J1444" s="88" t="str">
        <x:f>IF(C1444="","",F1444+G1444+H1444)</x:f>
      </x:c>
      <x:c r="K1444" s="88" t="str">
        <x:f>IF(C1444="","",MAX(0,SUMIFS(SONDERZAHLUNGEN!$E$9:$E$128,SONDERZAHLUNGEN!$B$9:$B$128,C1444,SONDERZAHLUNGEN!$C$9:$C$128,A1444,SONDERZAHLUNGEN!$H$9:$H$128,"OK",SONDERZAHLUNGEN!$F$9:$F$128,"Ja")-G1444))</x:f>
      </x:c>
    </x:row>
    <x:row r="1445" ht="19" customHeight="1">
      <x:c r="A1445" s="90" t="n">
        <x:f>MONATSBUDGET!$A$79</x:f>
        <x:v>48396</x:v>
      </x:c>
      <x:c r="B1445" t="n">
        <x:f>6</x:f>
        <x:v>6</x:v>
      </x:c>
      <x:c r="C1445" t="str">
        <x:f>IF($N$14="","",$N$14)</x:f>
      </x:c>
      <x:c r="D1445" s="88" t="str">
        <x:f>IF(C1445="","",I1425)</x:f>
      </x:c>
      <x:c r="E1445" s="88" t="str">
        <x:f>IF(C1445="","",ROUND(D1445*$P$14/12,2))</x:f>
      </x:c>
      <x:c r="F1445" s="88" t="str">
        <x:f>IF(C1445="","",MIN(D1445+E1445,$Q$14))</x:f>
      </x:c>
      <x:c r="G1445" s="88" t="str">
        <x:f>IF(C1445="","",MIN(MAX(0,D1445+E1445-F1445),SUMIFS(SONDERZAHLUNGEN!$E$9:$E$128,SONDERZAHLUNGEN!$B$9:$B$128,C1445,SONDERZAHLUNGEN!$C$9:$C$128,A1445,SONDERZAHLUNGEN!$H$9:$H$128,"OK",SONDERZAHLUNGEN!$F$9:$F$128,"Ja")))</x:f>
      </x:c>
      <x:c r="H1445" s="88" t="str">
        <x:f>IF(C1445="","",MIN(MAX(0,D1445+E1445-F1445-G1445),MAX(0,IF(MONATSBUDGET!$C$79="",0,MONATSBUDGET!$C$79)-SUM(F1440:F1459)-SUM(H1440:H1444))))</x:f>
      </x:c>
      <x:c r="I1445" s="88" t="str">
        <x:f>IF(C1445="","",MAX(0,ROUND(D1445+E1445-F1445-G1445-H1445,2)))</x:f>
      </x:c>
      <x:c r="J1445" s="88" t="str">
        <x:f>IF(C1445="","",F1445+G1445+H1445)</x:f>
      </x:c>
      <x:c r="K1445" s="88" t="str">
        <x:f>IF(C1445="","",MAX(0,SUMIFS(SONDERZAHLUNGEN!$E$9:$E$128,SONDERZAHLUNGEN!$B$9:$B$128,C1445,SONDERZAHLUNGEN!$C$9:$C$128,A1445,SONDERZAHLUNGEN!$H$9:$H$128,"OK",SONDERZAHLUNGEN!$F$9:$F$128,"Ja")-G1445))</x:f>
      </x:c>
    </x:row>
    <x:row r="1446" ht="19" customHeight="1">
      <x:c r="A1446" s="90" t="n">
        <x:f>MONATSBUDGET!$A$79</x:f>
        <x:v>48396</x:v>
      </x:c>
      <x:c r="B1446" t="n">
        <x:f>7</x:f>
        <x:v>7</x:v>
      </x:c>
      <x:c r="C1446" t="str">
        <x:f>IF($N$15="","",$N$15)</x:f>
      </x:c>
      <x:c r="D1446" s="88" t="str">
        <x:f>IF(C1446="","",I1426)</x:f>
      </x:c>
      <x:c r="E1446" s="88" t="str">
        <x:f>IF(C1446="","",ROUND(D1446*$P$15/12,2))</x:f>
      </x:c>
      <x:c r="F1446" s="88" t="str">
        <x:f>IF(C1446="","",MIN(D1446+E1446,$Q$15))</x:f>
      </x:c>
      <x:c r="G1446" s="88" t="str">
        <x:f>IF(C1446="","",MIN(MAX(0,D1446+E1446-F1446),SUMIFS(SONDERZAHLUNGEN!$E$9:$E$128,SONDERZAHLUNGEN!$B$9:$B$128,C1446,SONDERZAHLUNGEN!$C$9:$C$128,A1446,SONDERZAHLUNGEN!$H$9:$H$128,"OK",SONDERZAHLUNGEN!$F$9:$F$128,"Ja")))</x:f>
      </x:c>
      <x:c r="H1446" s="88" t="str">
        <x:f>IF(C1446="","",MIN(MAX(0,D1446+E1446-F1446-G1446),MAX(0,IF(MONATSBUDGET!$C$79="",0,MONATSBUDGET!$C$79)-SUM(F1440:F1459)-SUM(H1440:H1445))))</x:f>
      </x:c>
      <x:c r="I1446" s="88" t="str">
        <x:f>IF(C1446="","",MAX(0,ROUND(D1446+E1446-F1446-G1446-H1446,2)))</x:f>
      </x:c>
      <x:c r="J1446" s="88" t="str">
        <x:f>IF(C1446="","",F1446+G1446+H1446)</x:f>
      </x:c>
      <x:c r="K1446" s="88" t="str">
        <x:f>IF(C1446="","",MAX(0,SUMIFS(SONDERZAHLUNGEN!$E$9:$E$128,SONDERZAHLUNGEN!$B$9:$B$128,C1446,SONDERZAHLUNGEN!$C$9:$C$128,A1446,SONDERZAHLUNGEN!$H$9:$H$128,"OK",SONDERZAHLUNGEN!$F$9:$F$128,"Ja")-G1446))</x:f>
      </x:c>
    </x:row>
    <x:row r="1447" ht="19" customHeight="1">
      <x:c r="A1447" s="90" t="n">
        <x:f>MONATSBUDGET!$A$79</x:f>
        <x:v>48396</x:v>
      </x:c>
      <x:c r="B1447" t="n">
        <x:f>8</x:f>
        <x:v>8</x:v>
      </x:c>
      <x:c r="C1447" t="str">
        <x:f>IF($N$16="","",$N$16)</x:f>
      </x:c>
      <x:c r="D1447" s="88" t="str">
        <x:f>IF(C1447="","",I1427)</x:f>
      </x:c>
      <x:c r="E1447" s="88" t="str">
        <x:f>IF(C1447="","",ROUND(D1447*$P$16/12,2))</x:f>
      </x:c>
      <x:c r="F1447" s="88" t="str">
        <x:f>IF(C1447="","",MIN(D1447+E1447,$Q$16))</x:f>
      </x:c>
      <x:c r="G1447" s="88" t="str">
        <x:f>IF(C1447="","",MIN(MAX(0,D1447+E1447-F1447),SUMIFS(SONDERZAHLUNGEN!$E$9:$E$128,SONDERZAHLUNGEN!$B$9:$B$128,C1447,SONDERZAHLUNGEN!$C$9:$C$128,A1447,SONDERZAHLUNGEN!$H$9:$H$128,"OK",SONDERZAHLUNGEN!$F$9:$F$128,"Ja")))</x:f>
      </x:c>
      <x:c r="H1447" s="88" t="str">
        <x:f>IF(C1447="","",MIN(MAX(0,D1447+E1447-F1447-G1447),MAX(0,IF(MONATSBUDGET!$C$79="",0,MONATSBUDGET!$C$79)-SUM(F1440:F1459)-SUM(H1440:H1446))))</x:f>
      </x:c>
      <x:c r="I1447" s="88" t="str">
        <x:f>IF(C1447="","",MAX(0,ROUND(D1447+E1447-F1447-G1447-H1447,2)))</x:f>
      </x:c>
      <x:c r="J1447" s="88" t="str">
        <x:f>IF(C1447="","",F1447+G1447+H1447)</x:f>
      </x:c>
      <x:c r="K1447" s="88" t="str">
        <x:f>IF(C1447="","",MAX(0,SUMIFS(SONDERZAHLUNGEN!$E$9:$E$128,SONDERZAHLUNGEN!$B$9:$B$128,C1447,SONDERZAHLUNGEN!$C$9:$C$128,A1447,SONDERZAHLUNGEN!$H$9:$H$128,"OK",SONDERZAHLUNGEN!$F$9:$F$128,"Ja")-G1447))</x:f>
      </x:c>
    </x:row>
    <x:row r="1448" ht="19" customHeight="1">
      <x:c r="A1448" s="90" t="n">
        <x:f>MONATSBUDGET!$A$79</x:f>
        <x:v>48396</x:v>
      </x:c>
      <x:c r="B1448" t="n">
        <x:f>9</x:f>
        <x:v>9</x:v>
      </x:c>
      <x:c r="C1448" t="str">
        <x:f>IF($N$17="","",$N$17)</x:f>
      </x:c>
      <x:c r="D1448" s="88" t="str">
        <x:f>IF(C1448="","",I1428)</x:f>
      </x:c>
      <x:c r="E1448" s="88" t="str">
        <x:f>IF(C1448="","",ROUND(D1448*$P$17/12,2))</x:f>
      </x:c>
      <x:c r="F1448" s="88" t="str">
        <x:f>IF(C1448="","",MIN(D1448+E1448,$Q$17))</x:f>
      </x:c>
      <x:c r="G1448" s="88" t="str">
        <x:f>IF(C1448="","",MIN(MAX(0,D1448+E1448-F1448),SUMIFS(SONDERZAHLUNGEN!$E$9:$E$128,SONDERZAHLUNGEN!$B$9:$B$128,C1448,SONDERZAHLUNGEN!$C$9:$C$128,A1448,SONDERZAHLUNGEN!$H$9:$H$128,"OK",SONDERZAHLUNGEN!$F$9:$F$128,"Ja")))</x:f>
      </x:c>
      <x:c r="H1448" s="88" t="str">
        <x:f>IF(C1448="","",MIN(MAX(0,D1448+E1448-F1448-G1448),MAX(0,IF(MONATSBUDGET!$C$79="",0,MONATSBUDGET!$C$79)-SUM(F1440:F1459)-SUM(H1440:H1447))))</x:f>
      </x:c>
      <x:c r="I1448" s="88" t="str">
        <x:f>IF(C1448="","",MAX(0,ROUND(D1448+E1448-F1448-G1448-H1448,2)))</x:f>
      </x:c>
      <x:c r="J1448" s="88" t="str">
        <x:f>IF(C1448="","",F1448+G1448+H1448)</x:f>
      </x:c>
      <x:c r="K1448" s="88" t="str">
        <x:f>IF(C1448="","",MAX(0,SUMIFS(SONDERZAHLUNGEN!$E$9:$E$128,SONDERZAHLUNGEN!$B$9:$B$128,C1448,SONDERZAHLUNGEN!$C$9:$C$128,A1448,SONDERZAHLUNGEN!$H$9:$H$128,"OK",SONDERZAHLUNGEN!$F$9:$F$128,"Ja")-G1448))</x:f>
      </x:c>
    </x:row>
    <x:row r="1449" ht="19" customHeight="1">
      <x:c r="A1449" s="90" t="n">
        <x:f>MONATSBUDGET!$A$79</x:f>
        <x:v>48396</x:v>
      </x:c>
      <x:c r="B1449" t="n">
        <x:f>10</x:f>
        <x:v>10</x:v>
      </x:c>
      <x:c r="C1449" t="str">
        <x:f>IF($N$18="","",$N$18)</x:f>
      </x:c>
      <x:c r="D1449" s="88" t="str">
        <x:f>IF(C1449="","",I1429)</x:f>
      </x:c>
      <x:c r="E1449" s="88" t="str">
        <x:f>IF(C1449="","",ROUND(D1449*$P$18/12,2))</x:f>
      </x:c>
      <x:c r="F1449" s="88" t="str">
        <x:f>IF(C1449="","",MIN(D1449+E1449,$Q$18))</x:f>
      </x:c>
      <x:c r="G1449" s="88" t="str">
        <x:f>IF(C1449="","",MIN(MAX(0,D1449+E1449-F1449),SUMIFS(SONDERZAHLUNGEN!$E$9:$E$128,SONDERZAHLUNGEN!$B$9:$B$128,C1449,SONDERZAHLUNGEN!$C$9:$C$128,A1449,SONDERZAHLUNGEN!$H$9:$H$128,"OK",SONDERZAHLUNGEN!$F$9:$F$128,"Ja")))</x:f>
      </x:c>
      <x:c r="H1449" s="88" t="str">
        <x:f>IF(C1449="","",MIN(MAX(0,D1449+E1449-F1449-G1449),MAX(0,IF(MONATSBUDGET!$C$79="",0,MONATSBUDGET!$C$79)-SUM(F1440:F1459)-SUM(H1440:H1448))))</x:f>
      </x:c>
      <x:c r="I1449" s="88" t="str">
        <x:f>IF(C1449="","",MAX(0,ROUND(D1449+E1449-F1449-G1449-H1449,2)))</x:f>
      </x:c>
      <x:c r="J1449" s="88" t="str">
        <x:f>IF(C1449="","",F1449+G1449+H1449)</x:f>
      </x:c>
      <x:c r="K1449" s="88" t="str">
        <x:f>IF(C1449="","",MAX(0,SUMIFS(SONDERZAHLUNGEN!$E$9:$E$128,SONDERZAHLUNGEN!$B$9:$B$128,C1449,SONDERZAHLUNGEN!$C$9:$C$128,A1449,SONDERZAHLUNGEN!$H$9:$H$128,"OK",SONDERZAHLUNGEN!$F$9:$F$128,"Ja")-G1449))</x:f>
      </x:c>
    </x:row>
    <x:row r="1450" ht="19" customHeight="1">
      <x:c r="A1450" s="90" t="n">
        <x:f>MONATSBUDGET!$A$79</x:f>
        <x:v>48396</x:v>
      </x:c>
      <x:c r="B1450" t="n">
        <x:f>11</x:f>
        <x:v>11</x:v>
      </x:c>
      <x:c r="C1450" t="str">
        <x:f>IF($N$19="","",$N$19)</x:f>
      </x:c>
      <x:c r="D1450" s="88" t="str">
        <x:f>IF(C1450="","",I1430)</x:f>
      </x:c>
      <x:c r="E1450" s="88" t="str">
        <x:f>IF(C1450="","",ROUND(D1450*$P$19/12,2))</x:f>
      </x:c>
      <x:c r="F1450" s="88" t="str">
        <x:f>IF(C1450="","",MIN(D1450+E1450,$Q$19))</x:f>
      </x:c>
      <x:c r="G1450" s="88" t="str">
        <x:f>IF(C1450="","",MIN(MAX(0,D1450+E1450-F1450),SUMIFS(SONDERZAHLUNGEN!$E$9:$E$128,SONDERZAHLUNGEN!$B$9:$B$128,C1450,SONDERZAHLUNGEN!$C$9:$C$128,A1450,SONDERZAHLUNGEN!$H$9:$H$128,"OK",SONDERZAHLUNGEN!$F$9:$F$128,"Ja")))</x:f>
      </x:c>
      <x:c r="H1450" s="88" t="str">
        <x:f>IF(C1450="","",MIN(MAX(0,D1450+E1450-F1450-G1450),MAX(0,IF(MONATSBUDGET!$C$79="",0,MONATSBUDGET!$C$79)-SUM(F1440:F1459)-SUM(H1440:H1449))))</x:f>
      </x:c>
      <x:c r="I1450" s="88" t="str">
        <x:f>IF(C1450="","",MAX(0,ROUND(D1450+E1450-F1450-G1450-H1450,2)))</x:f>
      </x:c>
      <x:c r="J1450" s="88" t="str">
        <x:f>IF(C1450="","",F1450+G1450+H1450)</x:f>
      </x:c>
      <x:c r="K1450" s="88" t="str">
        <x:f>IF(C1450="","",MAX(0,SUMIFS(SONDERZAHLUNGEN!$E$9:$E$128,SONDERZAHLUNGEN!$B$9:$B$128,C1450,SONDERZAHLUNGEN!$C$9:$C$128,A1450,SONDERZAHLUNGEN!$H$9:$H$128,"OK",SONDERZAHLUNGEN!$F$9:$F$128,"Ja")-G1450))</x:f>
      </x:c>
    </x:row>
    <x:row r="1451" ht="19" customHeight="1">
      <x:c r="A1451" s="90" t="n">
        <x:f>MONATSBUDGET!$A$79</x:f>
        <x:v>48396</x:v>
      </x:c>
      <x:c r="B1451" t="n">
        <x:f>12</x:f>
        <x:v>12</x:v>
      </x:c>
      <x:c r="C1451" t="str">
        <x:f>IF($N$20="","",$N$20)</x:f>
      </x:c>
      <x:c r="D1451" s="88" t="str">
        <x:f>IF(C1451="","",I1431)</x:f>
      </x:c>
      <x:c r="E1451" s="88" t="str">
        <x:f>IF(C1451="","",ROUND(D1451*$P$20/12,2))</x:f>
      </x:c>
      <x:c r="F1451" s="88" t="str">
        <x:f>IF(C1451="","",MIN(D1451+E1451,$Q$20))</x:f>
      </x:c>
      <x:c r="G1451" s="88" t="str">
        <x:f>IF(C1451="","",MIN(MAX(0,D1451+E1451-F1451),SUMIFS(SONDERZAHLUNGEN!$E$9:$E$128,SONDERZAHLUNGEN!$B$9:$B$128,C1451,SONDERZAHLUNGEN!$C$9:$C$128,A1451,SONDERZAHLUNGEN!$H$9:$H$128,"OK",SONDERZAHLUNGEN!$F$9:$F$128,"Ja")))</x:f>
      </x:c>
      <x:c r="H1451" s="88" t="str">
        <x:f>IF(C1451="","",MIN(MAX(0,D1451+E1451-F1451-G1451),MAX(0,IF(MONATSBUDGET!$C$79="",0,MONATSBUDGET!$C$79)-SUM(F1440:F1459)-SUM(H1440:H1450))))</x:f>
      </x:c>
      <x:c r="I1451" s="88" t="str">
        <x:f>IF(C1451="","",MAX(0,ROUND(D1451+E1451-F1451-G1451-H1451,2)))</x:f>
      </x:c>
      <x:c r="J1451" s="88" t="str">
        <x:f>IF(C1451="","",F1451+G1451+H1451)</x:f>
      </x:c>
      <x:c r="K1451" s="88" t="str">
        <x:f>IF(C1451="","",MAX(0,SUMIFS(SONDERZAHLUNGEN!$E$9:$E$128,SONDERZAHLUNGEN!$B$9:$B$128,C1451,SONDERZAHLUNGEN!$C$9:$C$128,A1451,SONDERZAHLUNGEN!$H$9:$H$128,"OK",SONDERZAHLUNGEN!$F$9:$F$128,"Ja")-G1451))</x:f>
      </x:c>
    </x:row>
    <x:row r="1452" ht="19" customHeight="1">
      <x:c r="A1452" s="90" t="n">
        <x:f>MONATSBUDGET!$A$79</x:f>
        <x:v>48396</x:v>
      </x:c>
      <x:c r="B1452" t="n">
        <x:f>13</x:f>
        <x:v>13</x:v>
      </x:c>
      <x:c r="C1452" t="str">
        <x:f>IF($N$21="","",$N$21)</x:f>
      </x:c>
      <x:c r="D1452" s="88" t="str">
        <x:f>IF(C1452="","",I1432)</x:f>
      </x:c>
      <x:c r="E1452" s="88" t="str">
        <x:f>IF(C1452="","",ROUND(D1452*$P$21/12,2))</x:f>
      </x:c>
      <x:c r="F1452" s="88" t="str">
        <x:f>IF(C1452="","",MIN(D1452+E1452,$Q$21))</x:f>
      </x:c>
      <x:c r="G1452" s="88" t="str">
        <x:f>IF(C1452="","",MIN(MAX(0,D1452+E1452-F1452),SUMIFS(SONDERZAHLUNGEN!$E$9:$E$128,SONDERZAHLUNGEN!$B$9:$B$128,C1452,SONDERZAHLUNGEN!$C$9:$C$128,A1452,SONDERZAHLUNGEN!$H$9:$H$128,"OK",SONDERZAHLUNGEN!$F$9:$F$128,"Ja")))</x:f>
      </x:c>
      <x:c r="H1452" s="88" t="str">
        <x:f>IF(C1452="","",MIN(MAX(0,D1452+E1452-F1452-G1452),MAX(0,IF(MONATSBUDGET!$C$79="",0,MONATSBUDGET!$C$79)-SUM(F1440:F1459)-SUM(H1440:H1451))))</x:f>
      </x:c>
      <x:c r="I1452" s="88" t="str">
        <x:f>IF(C1452="","",MAX(0,ROUND(D1452+E1452-F1452-G1452-H1452,2)))</x:f>
      </x:c>
      <x:c r="J1452" s="88" t="str">
        <x:f>IF(C1452="","",F1452+G1452+H1452)</x:f>
      </x:c>
      <x:c r="K1452" s="88" t="str">
        <x:f>IF(C1452="","",MAX(0,SUMIFS(SONDERZAHLUNGEN!$E$9:$E$128,SONDERZAHLUNGEN!$B$9:$B$128,C1452,SONDERZAHLUNGEN!$C$9:$C$128,A1452,SONDERZAHLUNGEN!$H$9:$H$128,"OK",SONDERZAHLUNGEN!$F$9:$F$128,"Ja")-G1452))</x:f>
      </x:c>
    </x:row>
    <x:row r="1453" ht="19" customHeight="1">
      <x:c r="A1453" s="90" t="n">
        <x:f>MONATSBUDGET!$A$79</x:f>
        <x:v>48396</x:v>
      </x:c>
      <x:c r="B1453" t="n">
        <x:f>14</x:f>
        <x:v>14</x:v>
      </x:c>
      <x:c r="C1453" t="str">
        <x:f>IF($N$22="","",$N$22)</x:f>
      </x:c>
      <x:c r="D1453" s="88" t="str">
        <x:f>IF(C1453="","",I1433)</x:f>
      </x:c>
      <x:c r="E1453" s="88" t="str">
        <x:f>IF(C1453="","",ROUND(D1453*$P$22/12,2))</x:f>
      </x:c>
      <x:c r="F1453" s="88" t="str">
        <x:f>IF(C1453="","",MIN(D1453+E1453,$Q$22))</x:f>
      </x:c>
      <x:c r="G1453" s="88" t="str">
        <x:f>IF(C1453="","",MIN(MAX(0,D1453+E1453-F1453),SUMIFS(SONDERZAHLUNGEN!$E$9:$E$128,SONDERZAHLUNGEN!$B$9:$B$128,C1453,SONDERZAHLUNGEN!$C$9:$C$128,A1453,SONDERZAHLUNGEN!$H$9:$H$128,"OK",SONDERZAHLUNGEN!$F$9:$F$128,"Ja")))</x:f>
      </x:c>
      <x:c r="H1453" s="88" t="str">
        <x:f>IF(C1453="","",MIN(MAX(0,D1453+E1453-F1453-G1453),MAX(0,IF(MONATSBUDGET!$C$79="",0,MONATSBUDGET!$C$79)-SUM(F1440:F1459)-SUM(H1440:H1452))))</x:f>
      </x:c>
      <x:c r="I1453" s="88" t="str">
        <x:f>IF(C1453="","",MAX(0,ROUND(D1453+E1453-F1453-G1453-H1453,2)))</x:f>
      </x:c>
      <x:c r="J1453" s="88" t="str">
        <x:f>IF(C1453="","",F1453+G1453+H1453)</x:f>
      </x:c>
      <x:c r="K1453" s="88" t="str">
        <x:f>IF(C1453="","",MAX(0,SUMIFS(SONDERZAHLUNGEN!$E$9:$E$128,SONDERZAHLUNGEN!$B$9:$B$128,C1453,SONDERZAHLUNGEN!$C$9:$C$128,A1453,SONDERZAHLUNGEN!$H$9:$H$128,"OK",SONDERZAHLUNGEN!$F$9:$F$128,"Ja")-G1453))</x:f>
      </x:c>
    </x:row>
    <x:row r="1454" ht="19" customHeight="1">
      <x:c r="A1454" s="90" t="n">
        <x:f>MONATSBUDGET!$A$79</x:f>
        <x:v>48396</x:v>
      </x:c>
      <x:c r="B1454" t="n">
        <x:f>15</x:f>
        <x:v>15</x:v>
      </x:c>
      <x:c r="C1454" t="str">
        <x:f>IF($N$23="","",$N$23)</x:f>
      </x:c>
      <x:c r="D1454" s="88" t="str">
        <x:f>IF(C1454="","",I1434)</x:f>
      </x:c>
      <x:c r="E1454" s="88" t="str">
        <x:f>IF(C1454="","",ROUND(D1454*$P$23/12,2))</x:f>
      </x:c>
      <x:c r="F1454" s="88" t="str">
        <x:f>IF(C1454="","",MIN(D1454+E1454,$Q$23))</x:f>
      </x:c>
      <x:c r="G1454" s="88" t="str">
        <x:f>IF(C1454="","",MIN(MAX(0,D1454+E1454-F1454),SUMIFS(SONDERZAHLUNGEN!$E$9:$E$128,SONDERZAHLUNGEN!$B$9:$B$128,C1454,SONDERZAHLUNGEN!$C$9:$C$128,A1454,SONDERZAHLUNGEN!$H$9:$H$128,"OK",SONDERZAHLUNGEN!$F$9:$F$128,"Ja")))</x:f>
      </x:c>
      <x:c r="H1454" s="88" t="str">
        <x:f>IF(C1454="","",MIN(MAX(0,D1454+E1454-F1454-G1454),MAX(0,IF(MONATSBUDGET!$C$79="",0,MONATSBUDGET!$C$79)-SUM(F1440:F1459)-SUM(H1440:H1453))))</x:f>
      </x:c>
      <x:c r="I1454" s="88" t="str">
        <x:f>IF(C1454="","",MAX(0,ROUND(D1454+E1454-F1454-G1454-H1454,2)))</x:f>
      </x:c>
      <x:c r="J1454" s="88" t="str">
        <x:f>IF(C1454="","",F1454+G1454+H1454)</x:f>
      </x:c>
      <x:c r="K1454" s="88" t="str">
        <x:f>IF(C1454="","",MAX(0,SUMIFS(SONDERZAHLUNGEN!$E$9:$E$128,SONDERZAHLUNGEN!$B$9:$B$128,C1454,SONDERZAHLUNGEN!$C$9:$C$128,A1454,SONDERZAHLUNGEN!$H$9:$H$128,"OK",SONDERZAHLUNGEN!$F$9:$F$128,"Ja")-G1454))</x:f>
      </x:c>
    </x:row>
    <x:row r="1455" ht="19" customHeight="1">
      <x:c r="A1455" s="90" t="n">
        <x:f>MONATSBUDGET!$A$79</x:f>
        <x:v>48396</x:v>
      </x:c>
      <x:c r="B1455" t="n">
        <x:f>16</x:f>
        <x:v>16</x:v>
      </x:c>
      <x:c r="C1455" t="str">
        <x:f>IF($N$24="","",$N$24)</x:f>
      </x:c>
      <x:c r="D1455" s="88" t="str">
        <x:f>IF(C1455="","",I1435)</x:f>
      </x:c>
      <x:c r="E1455" s="88" t="str">
        <x:f>IF(C1455="","",ROUND(D1455*$P$24/12,2))</x:f>
      </x:c>
      <x:c r="F1455" s="88" t="str">
        <x:f>IF(C1455="","",MIN(D1455+E1455,$Q$24))</x:f>
      </x:c>
      <x:c r="G1455" s="88" t="str">
        <x:f>IF(C1455="","",MIN(MAX(0,D1455+E1455-F1455),SUMIFS(SONDERZAHLUNGEN!$E$9:$E$128,SONDERZAHLUNGEN!$B$9:$B$128,C1455,SONDERZAHLUNGEN!$C$9:$C$128,A1455,SONDERZAHLUNGEN!$H$9:$H$128,"OK",SONDERZAHLUNGEN!$F$9:$F$128,"Ja")))</x:f>
      </x:c>
      <x:c r="H1455" s="88" t="str">
        <x:f>IF(C1455="","",MIN(MAX(0,D1455+E1455-F1455-G1455),MAX(0,IF(MONATSBUDGET!$C$79="",0,MONATSBUDGET!$C$79)-SUM(F1440:F1459)-SUM(H1440:H1454))))</x:f>
      </x:c>
      <x:c r="I1455" s="88" t="str">
        <x:f>IF(C1455="","",MAX(0,ROUND(D1455+E1455-F1455-G1455-H1455,2)))</x:f>
      </x:c>
      <x:c r="J1455" s="88" t="str">
        <x:f>IF(C1455="","",F1455+G1455+H1455)</x:f>
      </x:c>
      <x:c r="K1455" s="88" t="str">
        <x:f>IF(C1455="","",MAX(0,SUMIFS(SONDERZAHLUNGEN!$E$9:$E$128,SONDERZAHLUNGEN!$B$9:$B$128,C1455,SONDERZAHLUNGEN!$C$9:$C$128,A1455,SONDERZAHLUNGEN!$H$9:$H$128,"OK",SONDERZAHLUNGEN!$F$9:$F$128,"Ja")-G1455))</x:f>
      </x:c>
    </x:row>
    <x:row r="1456" ht="19" customHeight="1">
      <x:c r="A1456" s="90" t="n">
        <x:f>MONATSBUDGET!$A$79</x:f>
        <x:v>48396</x:v>
      </x:c>
      <x:c r="B1456" t="n">
        <x:f>17</x:f>
        <x:v>17</x:v>
      </x:c>
      <x:c r="C1456" t="str">
        <x:f>IF($N$25="","",$N$25)</x:f>
      </x:c>
      <x:c r="D1456" s="88" t="str">
        <x:f>IF(C1456="","",I1436)</x:f>
      </x:c>
      <x:c r="E1456" s="88" t="str">
        <x:f>IF(C1456="","",ROUND(D1456*$P$25/12,2))</x:f>
      </x:c>
      <x:c r="F1456" s="88" t="str">
        <x:f>IF(C1456="","",MIN(D1456+E1456,$Q$25))</x:f>
      </x:c>
      <x:c r="G1456" s="88" t="str">
        <x:f>IF(C1456="","",MIN(MAX(0,D1456+E1456-F1456),SUMIFS(SONDERZAHLUNGEN!$E$9:$E$128,SONDERZAHLUNGEN!$B$9:$B$128,C1456,SONDERZAHLUNGEN!$C$9:$C$128,A1456,SONDERZAHLUNGEN!$H$9:$H$128,"OK",SONDERZAHLUNGEN!$F$9:$F$128,"Ja")))</x:f>
      </x:c>
      <x:c r="H1456" s="88" t="str">
        <x:f>IF(C1456="","",MIN(MAX(0,D1456+E1456-F1456-G1456),MAX(0,IF(MONATSBUDGET!$C$79="",0,MONATSBUDGET!$C$79)-SUM(F1440:F1459)-SUM(H1440:H1455))))</x:f>
      </x:c>
      <x:c r="I1456" s="88" t="str">
        <x:f>IF(C1456="","",MAX(0,ROUND(D1456+E1456-F1456-G1456-H1456,2)))</x:f>
      </x:c>
      <x:c r="J1456" s="88" t="str">
        <x:f>IF(C1456="","",F1456+G1456+H1456)</x:f>
      </x:c>
      <x:c r="K1456" s="88" t="str">
        <x:f>IF(C1456="","",MAX(0,SUMIFS(SONDERZAHLUNGEN!$E$9:$E$128,SONDERZAHLUNGEN!$B$9:$B$128,C1456,SONDERZAHLUNGEN!$C$9:$C$128,A1456,SONDERZAHLUNGEN!$H$9:$H$128,"OK",SONDERZAHLUNGEN!$F$9:$F$128,"Ja")-G1456))</x:f>
      </x:c>
    </x:row>
    <x:row r="1457" ht="19" customHeight="1">
      <x:c r="A1457" s="90" t="n">
        <x:f>MONATSBUDGET!$A$79</x:f>
        <x:v>48396</x:v>
      </x:c>
      <x:c r="B1457" t="n">
        <x:f>18</x:f>
        <x:v>18</x:v>
      </x:c>
      <x:c r="C1457" t="str">
        <x:f>IF($N$26="","",$N$26)</x:f>
      </x:c>
      <x:c r="D1457" s="88" t="str">
        <x:f>IF(C1457="","",I1437)</x:f>
      </x:c>
      <x:c r="E1457" s="88" t="str">
        <x:f>IF(C1457="","",ROUND(D1457*$P$26/12,2))</x:f>
      </x:c>
      <x:c r="F1457" s="88" t="str">
        <x:f>IF(C1457="","",MIN(D1457+E1457,$Q$26))</x:f>
      </x:c>
      <x:c r="G1457" s="88" t="str">
        <x:f>IF(C1457="","",MIN(MAX(0,D1457+E1457-F1457),SUMIFS(SONDERZAHLUNGEN!$E$9:$E$128,SONDERZAHLUNGEN!$B$9:$B$128,C1457,SONDERZAHLUNGEN!$C$9:$C$128,A1457,SONDERZAHLUNGEN!$H$9:$H$128,"OK",SONDERZAHLUNGEN!$F$9:$F$128,"Ja")))</x:f>
      </x:c>
      <x:c r="H1457" s="88" t="str">
        <x:f>IF(C1457="","",MIN(MAX(0,D1457+E1457-F1457-G1457),MAX(0,IF(MONATSBUDGET!$C$79="",0,MONATSBUDGET!$C$79)-SUM(F1440:F1459)-SUM(H1440:H1456))))</x:f>
      </x:c>
      <x:c r="I1457" s="88" t="str">
        <x:f>IF(C1457="","",MAX(0,ROUND(D1457+E1457-F1457-G1457-H1457,2)))</x:f>
      </x:c>
      <x:c r="J1457" s="88" t="str">
        <x:f>IF(C1457="","",F1457+G1457+H1457)</x:f>
      </x:c>
      <x:c r="K1457" s="88" t="str">
        <x:f>IF(C1457="","",MAX(0,SUMIFS(SONDERZAHLUNGEN!$E$9:$E$128,SONDERZAHLUNGEN!$B$9:$B$128,C1457,SONDERZAHLUNGEN!$C$9:$C$128,A1457,SONDERZAHLUNGEN!$H$9:$H$128,"OK",SONDERZAHLUNGEN!$F$9:$F$128,"Ja")-G1457))</x:f>
      </x:c>
    </x:row>
    <x:row r="1458" ht="19" customHeight="1">
      <x:c r="A1458" s="90" t="n">
        <x:f>MONATSBUDGET!$A$79</x:f>
        <x:v>48396</x:v>
      </x:c>
      <x:c r="B1458" t="n">
        <x:f>19</x:f>
        <x:v>19</x:v>
      </x:c>
      <x:c r="C1458" t="str">
        <x:f>IF($N$27="","",$N$27)</x:f>
      </x:c>
      <x:c r="D1458" s="88" t="str">
        <x:f>IF(C1458="","",I1438)</x:f>
      </x:c>
      <x:c r="E1458" s="88" t="str">
        <x:f>IF(C1458="","",ROUND(D1458*$P$27/12,2))</x:f>
      </x:c>
      <x:c r="F1458" s="88" t="str">
        <x:f>IF(C1458="","",MIN(D1458+E1458,$Q$27))</x:f>
      </x:c>
      <x:c r="G1458" s="88" t="str">
        <x:f>IF(C1458="","",MIN(MAX(0,D1458+E1458-F1458),SUMIFS(SONDERZAHLUNGEN!$E$9:$E$128,SONDERZAHLUNGEN!$B$9:$B$128,C1458,SONDERZAHLUNGEN!$C$9:$C$128,A1458,SONDERZAHLUNGEN!$H$9:$H$128,"OK",SONDERZAHLUNGEN!$F$9:$F$128,"Ja")))</x:f>
      </x:c>
      <x:c r="H1458" s="88" t="str">
        <x:f>IF(C1458="","",MIN(MAX(0,D1458+E1458-F1458-G1458),MAX(0,IF(MONATSBUDGET!$C$79="",0,MONATSBUDGET!$C$79)-SUM(F1440:F1459)-SUM(H1440:H1457))))</x:f>
      </x:c>
      <x:c r="I1458" s="88" t="str">
        <x:f>IF(C1458="","",MAX(0,ROUND(D1458+E1458-F1458-G1458-H1458,2)))</x:f>
      </x:c>
      <x:c r="J1458" s="88" t="str">
        <x:f>IF(C1458="","",F1458+G1458+H1458)</x:f>
      </x:c>
      <x:c r="K1458" s="88" t="str">
        <x:f>IF(C1458="","",MAX(0,SUMIFS(SONDERZAHLUNGEN!$E$9:$E$128,SONDERZAHLUNGEN!$B$9:$B$128,C1458,SONDERZAHLUNGEN!$C$9:$C$128,A1458,SONDERZAHLUNGEN!$H$9:$H$128,"OK",SONDERZAHLUNGEN!$F$9:$F$128,"Ja")-G1458))</x:f>
      </x:c>
    </x:row>
    <x:row r="1459" ht="19" customHeight="1">
      <x:c r="A1459" s="90" t="n">
        <x:f>MONATSBUDGET!$A$79</x:f>
        <x:v>48396</x:v>
      </x:c>
      <x:c r="B1459" t="n">
        <x:f>20</x:f>
        <x:v>20</x:v>
      </x:c>
      <x:c r="C1459" t="str">
        <x:f>IF($N$28="","",$N$28)</x:f>
      </x:c>
      <x:c r="D1459" s="88" t="str">
        <x:f>IF(C1459="","",I1439)</x:f>
      </x:c>
      <x:c r="E1459" s="88" t="str">
        <x:f>IF(C1459="","",ROUND(D1459*$P$28/12,2))</x:f>
      </x:c>
      <x:c r="F1459" s="88" t="str">
        <x:f>IF(C1459="","",MIN(D1459+E1459,$Q$28))</x:f>
      </x:c>
      <x:c r="G1459" s="88" t="str">
        <x:f>IF(C1459="","",MIN(MAX(0,D1459+E1459-F1459),SUMIFS(SONDERZAHLUNGEN!$E$9:$E$128,SONDERZAHLUNGEN!$B$9:$B$128,C1459,SONDERZAHLUNGEN!$C$9:$C$128,A1459,SONDERZAHLUNGEN!$H$9:$H$128,"OK",SONDERZAHLUNGEN!$F$9:$F$128,"Ja")))</x:f>
      </x:c>
      <x:c r="H1459" s="88" t="str">
        <x:f>IF(C1459="","",MIN(MAX(0,D1459+E1459-F1459-G1459),MAX(0,IF(MONATSBUDGET!$C$79="",0,MONATSBUDGET!$C$79)-SUM(F1440:F1459)-SUM(H1440:H1458))))</x:f>
      </x:c>
      <x:c r="I1459" s="88" t="str">
        <x:f>IF(C1459="","",MAX(0,ROUND(D1459+E1459-F1459-G1459-H1459,2)))</x:f>
      </x:c>
      <x:c r="J1459" s="88" t="str">
        <x:f>IF(C1459="","",F1459+G1459+H1459)</x:f>
      </x:c>
      <x:c r="K1459" s="88" t="str">
        <x:f>IF(C1459="","",MAX(0,SUMIFS(SONDERZAHLUNGEN!$E$9:$E$128,SONDERZAHLUNGEN!$B$9:$B$128,C1459,SONDERZAHLUNGEN!$C$9:$C$128,A1459,SONDERZAHLUNGEN!$H$9:$H$128,"OK",SONDERZAHLUNGEN!$F$9:$F$128,"Ja")-G1459))</x:f>
      </x:c>
    </x:row>
    <x:row r="1460" ht="19" customHeight="1">
      <x:c r="A1460" s="90" t="n">
        <x:f>MONATSBUDGET!$A$80</x:f>
        <x:v>48427</x:v>
      </x:c>
      <x:c r="B1460" t="n">
        <x:f>1</x:f>
        <x:v>1</x:v>
      </x:c>
      <x:c r="C1460" t="str">
        <x:f>IF($N$9="","",$N$9)</x:f>
      </x:c>
      <x:c r="D1460" s="88" t="str">
        <x:f>IF(C1460="","",I1440)</x:f>
      </x:c>
      <x:c r="E1460" s="88" t="str">
        <x:f>IF(C1460="","",ROUND(D1460*$P$9/12,2))</x:f>
      </x:c>
      <x:c r="F1460" s="88" t="str">
        <x:f>IF(C1460="","",MIN(D1460+E1460,$Q$9))</x:f>
      </x:c>
      <x:c r="G1460" s="88" t="str">
        <x:f>IF(C1460="","",MIN(MAX(0,D1460+E1460-F1460),SUMIFS(SONDERZAHLUNGEN!$E$9:$E$128,SONDERZAHLUNGEN!$B$9:$B$128,C1460,SONDERZAHLUNGEN!$C$9:$C$128,A1460,SONDERZAHLUNGEN!$H$9:$H$128,"OK",SONDERZAHLUNGEN!$F$9:$F$128,"Ja")))</x:f>
      </x:c>
      <x:c r="H1460" s="88" t="str">
        <x:f>IF(C1460="","",MIN(MAX(0,D1460+E1460-F1460-G1460),MAX(0,IF(MONATSBUDGET!$C$80="",0,MONATSBUDGET!$C$80)-SUM(F1460:F1479)-0)))</x:f>
      </x:c>
      <x:c r="I1460" s="88" t="str">
        <x:f>IF(C1460="","",MAX(0,ROUND(D1460+E1460-F1460-G1460-H1460,2)))</x:f>
      </x:c>
      <x:c r="J1460" s="88" t="str">
        <x:f>IF(C1460="","",F1460+G1460+H1460)</x:f>
      </x:c>
      <x:c r="K1460" s="88" t="str">
        <x:f>IF(C1460="","",MAX(0,SUMIFS(SONDERZAHLUNGEN!$E$9:$E$128,SONDERZAHLUNGEN!$B$9:$B$128,C1460,SONDERZAHLUNGEN!$C$9:$C$128,A1460,SONDERZAHLUNGEN!$H$9:$H$128,"OK",SONDERZAHLUNGEN!$F$9:$F$128,"Ja")-G1460))</x:f>
      </x:c>
    </x:row>
    <x:row r="1461" ht="19" customHeight="1">
      <x:c r="A1461" s="90" t="n">
        <x:f>MONATSBUDGET!$A$80</x:f>
        <x:v>48427</x:v>
      </x:c>
      <x:c r="B1461" t="n">
        <x:f>2</x:f>
        <x:v>2</x:v>
      </x:c>
      <x:c r="C1461" t="str">
        <x:f>IF($N$10="","",$N$10)</x:f>
      </x:c>
      <x:c r="D1461" s="88" t="str">
        <x:f>IF(C1461="","",I1441)</x:f>
      </x:c>
      <x:c r="E1461" s="88" t="str">
        <x:f>IF(C1461="","",ROUND(D1461*$P$10/12,2))</x:f>
      </x:c>
      <x:c r="F1461" s="88" t="str">
        <x:f>IF(C1461="","",MIN(D1461+E1461,$Q$10))</x:f>
      </x:c>
      <x:c r="G1461" s="88" t="str">
        <x:f>IF(C1461="","",MIN(MAX(0,D1461+E1461-F1461),SUMIFS(SONDERZAHLUNGEN!$E$9:$E$128,SONDERZAHLUNGEN!$B$9:$B$128,C1461,SONDERZAHLUNGEN!$C$9:$C$128,A1461,SONDERZAHLUNGEN!$H$9:$H$128,"OK",SONDERZAHLUNGEN!$F$9:$F$128,"Ja")))</x:f>
      </x:c>
      <x:c r="H1461" s="88" t="str">
        <x:f>IF(C1461="","",MIN(MAX(0,D1461+E1461-F1461-G1461),MAX(0,IF(MONATSBUDGET!$C$80="",0,MONATSBUDGET!$C$80)-SUM(F1460:F1479)-SUM(H1460:H1460))))</x:f>
      </x:c>
      <x:c r="I1461" s="88" t="str">
        <x:f>IF(C1461="","",MAX(0,ROUND(D1461+E1461-F1461-G1461-H1461,2)))</x:f>
      </x:c>
      <x:c r="J1461" s="88" t="str">
        <x:f>IF(C1461="","",F1461+G1461+H1461)</x:f>
      </x:c>
      <x:c r="K1461" s="88" t="str">
        <x:f>IF(C1461="","",MAX(0,SUMIFS(SONDERZAHLUNGEN!$E$9:$E$128,SONDERZAHLUNGEN!$B$9:$B$128,C1461,SONDERZAHLUNGEN!$C$9:$C$128,A1461,SONDERZAHLUNGEN!$H$9:$H$128,"OK",SONDERZAHLUNGEN!$F$9:$F$128,"Ja")-G1461))</x:f>
      </x:c>
    </x:row>
    <x:row r="1462" ht="19" customHeight="1">
      <x:c r="A1462" s="90" t="n">
        <x:f>MONATSBUDGET!$A$80</x:f>
        <x:v>48427</x:v>
      </x:c>
      <x:c r="B1462" t="n">
        <x:f>3</x:f>
        <x:v>3</x:v>
      </x:c>
      <x:c r="C1462" t="str">
        <x:f>IF($N$11="","",$N$11)</x:f>
      </x:c>
      <x:c r="D1462" s="88" t="str">
        <x:f>IF(C1462="","",I1442)</x:f>
      </x:c>
      <x:c r="E1462" s="88" t="str">
        <x:f>IF(C1462="","",ROUND(D1462*$P$11/12,2))</x:f>
      </x:c>
      <x:c r="F1462" s="88" t="str">
        <x:f>IF(C1462="","",MIN(D1462+E1462,$Q$11))</x:f>
      </x:c>
      <x:c r="G1462" s="88" t="str">
        <x:f>IF(C1462="","",MIN(MAX(0,D1462+E1462-F1462),SUMIFS(SONDERZAHLUNGEN!$E$9:$E$128,SONDERZAHLUNGEN!$B$9:$B$128,C1462,SONDERZAHLUNGEN!$C$9:$C$128,A1462,SONDERZAHLUNGEN!$H$9:$H$128,"OK",SONDERZAHLUNGEN!$F$9:$F$128,"Ja")))</x:f>
      </x:c>
      <x:c r="H1462" s="88" t="str">
        <x:f>IF(C1462="","",MIN(MAX(0,D1462+E1462-F1462-G1462),MAX(0,IF(MONATSBUDGET!$C$80="",0,MONATSBUDGET!$C$80)-SUM(F1460:F1479)-SUM(H1460:H1461))))</x:f>
      </x:c>
      <x:c r="I1462" s="88" t="str">
        <x:f>IF(C1462="","",MAX(0,ROUND(D1462+E1462-F1462-G1462-H1462,2)))</x:f>
      </x:c>
      <x:c r="J1462" s="88" t="str">
        <x:f>IF(C1462="","",F1462+G1462+H1462)</x:f>
      </x:c>
      <x:c r="K1462" s="88" t="str">
        <x:f>IF(C1462="","",MAX(0,SUMIFS(SONDERZAHLUNGEN!$E$9:$E$128,SONDERZAHLUNGEN!$B$9:$B$128,C1462,SONDERZAHLUNGEN!$C$9:$C$128,A1462,SONDERZAHLUNGEN!$H$9:$H$128,"OK",SONDERZAHLUNGEN!$F$9:$F$128,"Ja")-G1462))</x:f>
      </x:c>
    </x:row>
    <x:row r="1463" ht="19" customHeight="1">
      <x:c r="A1463" s="90" t="n">
        <x:f>MONATSBUDGET!$A$80</x:f>
        <x:v>48427</x:v>
      </x:c>
      <x:c r="B1463" t="n">
        <x:f>4</x:f>
        <x:v>4</x:v>
      </x:c>
      <x:c r="C1463" t="str">
        <x:f>IF($N$12="","",$N$12)</x:f>
      </x:c>
      <x:c r="D1463" s="88" t="str">
        <x:f>IF(C1463="","",I1443)</x:f>
      </x:c>
      <x:c r="E1463" s="88" t="str">
        <x:f>IF(C1463="","",ROUND(D1463*$P$12/12,2))</x:f>
      </x:c>
      <x:c r="F1463" s="88" t="str">
        <x:f>IF(C1463="","",MIN(D1463+E1463,$Q$12))</x:f>
      </x:c>
      <x:c r="G1463" s="88" t="str">
        <x:f>IF(C1463="","",MIN(MAX(0,D1463+E1463-F1463),SUMIFS(SONDERZAHLUNGEN!$E$9:$E$128,SONDERZAHLUNGEN!$B$9:$B$128,C1463,SONDERZAHLUNGEN!$C$9:$C$128,A1463,SONDERZAHLUNGEN!$H$9:$H$128,"OK",SONDERZAHLUNGEN!$F$9:$F$128,"Ja")))</x:f>
      </x:c>
      <x:c r="H1463" s="88" t="str">
        <x:f>IF(C1463="","",MIN(MAX(0,D1463+E1463-F1463-G1463),MAX(0,IF(MONATSBUDGET!$C$80="",0,MONATSBUDGET!$C$80)-SUM(F1460:F1479)-SUM(H1460:H1462))))</x:f>
      </x:c>
      <x:c r="I1463" s="88" t="str">
        <x:f>IF(C1463="","",MAX(0,ROUND(D1463+E1463-F1463-G1463-H1463,2)))</x:f>
      </x:c>
      <x:c r="J1463" s="88" t="str">
        <x:f>IF(C1463="","",F1463+G1463+H1463)</x:f>
      </x:c>
      <x:c r="K1463" s="88" t="str">
        <x:f>IF(C1463="","",MAX(0,SUMIFS(SONDERZAHLUNGEN!$E$9:$E$128,SONDERZAHLUNGEN!$B$9:$B$128,C1463,SONDERZAHLUNGEN!$C$9:$C$128,A1463,SONDERZAHLUNGEN!$H$9:$H$128,"OK",SONDERZAHLUNGEN!$F$9:$F$128,"Ja")-G1463))</x:f>
      </x:c>
    </x:row>
    <x:row r="1464" ht="19" customHeight="1">
      <x:c r="A1464" s="90" t="n">
        <x:f>MONATSBUDGET!$A$80</x:f>
        <x:v>48427</x:v>
      </x:c>
      <x:c r="B1464" t="n">
        <x:f>5</x:f>
        <x:v>5</x:v>
      </x:c>
      <x:c r="C1464" t="str">
        <x:f>IF($N$13="","",$N$13)</x:f>
      </x:c>
      <x:c r="D1464" s="88" t="str">
        <x:f>IF(C1464="","",I1444)</x:f>
      </x:c>
      <x:c r="E1464" s="88" t="str">
        <x:f>IF(C1464="","",ROUND(D1464*$P$13/12,2))</x:f>
      </x:c>
      <x:c r="F1464" s="88" t="str">
        <x:f>IF(C1464="","",MIN(D1464+E1464,$Q$13))</x:f>
      </x:c>
      <x:c r="G1464" s="88" t="str">
        <x:f>IF(C1464="","",MIN(MAX(0,D1464+E1464-F1464),SUMIFS(SONDERZAHLUNGEN!$E$9:$E$128,SONDERZAHLUNGEN!$B$9:$B$128,C1464,SONDERZAHLUNGEN!$C$9:$C$128,A1464,SONDERZAHLUNGEN!$H$9:$H$128,"OK",SONDERZAHLUNGEN!$F$9:$F$128,"Ja")))</x:f>
      </x:c>
      <x:c r="H1464" s="88" t="str">
        <x:f>IF(C1464="","",MIN(MAX(0,D1464+E1464-F1464-G1464),MAX(0,IF(MONATSBUDGET!$C$80="",0,MONATSBUDGET!$C$80)-SUM(F1460:F1479)-SUM(H1460:H1463))))</x:f>
      </x:c>
      <x:c r="I1464" s="88" t="str">
        <x:f>IF(C1464="","",MAX(0,ROUND(D1464+E1464-F1464-G1464-H1464,2)))</x:f>
      </x:c>
      <x:c r="J1464" s="88" t="str">
        <x:f>IF(C1464="","",F1464+G1464+H1464)</x:f>
      </x:c>
      <x:c r="K1464" s="88" t="str">
        <x:f>IF(C1464="","",MAX(0,SUMIFS(SONDERZAHLUNGEN!$E$9:$E$128,SONDERZAHLUNGEN!$B$9:$B$128,C1464,SONDERZAHLUNGEN!$C$9:$C$128,A1464,SONDERZAHLUNGEN!$H$9:$H$128,"OK",SONDERZAHLUNGEN!$F$9:$F$128,"Ja")-G1464))</x:f>
      </x:c>
    </x:row>
    <x:row r="1465" ht="19" customHeight="1">
      <x:c r="A1465" s="90" t="n">
        <x:f>MONATSBUDGET!$A$80</x:f>
        <x:v>48427</x:v>
      </x:c>
      <x:c r="B1465" t="n">
        <x:f>6</x:f>
        <x:v>6</x:v>
      </x:c>
      <x:c r="C1465" t="str">
        <x:f>IF($N$14="","",$N$14)</x:f>
      </x:c>
      <x:c r="D1465" s="88" t="str">
        <x:f>IF(C1465="","",I1445)</x:f>
      </x:c>
      <x:c r="E1465" s="88" t="str">
        <x:f>IF(C1465="","",ROUND(D1465*$P$14/12,2))</x:f>
      </x:c>
      <x:c r="F1465" s="88" t="str">
        <x:f>IF(C1465="","",MIN(D1465+E1465,$Q$14))</x:f>
      </x:c>
      <x:c r="G1465" s="88" t="str">
        <x:f>IF(C1465="","",MIN(MAX(0,D1465+E1465-F1465),SUMIFS(SONDERZAHLUNGEN!$E$9:$E$128,SONDERZAHLUNGEN!$B$9:$B$128,C1465,SONDERZAHLUNGEN!$C$9:$C$128,A1465,SONDERZAHLUNGEN!$H$9:$H$128,"OK",SONDERZAHLUNGEN!$F$9:$F$128,"Ja")))</x:f>
      </x:c>
      <x:c r="H1465" s="88" t="str">
        <x:f>IF(C1465="","",MIN(MAX(0,D1465+E1465-F1465-G1465),MAX(0,IF(MONATSBUDGET!$C$80="",0,MONATSBUDGET!$C$80)-SUM(F1460:F1479)-SUM(H1460:H1464))))</x:f>
      </x:c>
      <x:c r="I1465" s="88" t="str">
        <x:f>IF(C1465="","",MAX(0,ROUND(D1465+E1465-F1465-G1465-H1465,2)))</x:f>
      </x:c>
      <x:c r="J1465" s="88" t="str">
        <x:f>IF(C1465="","",F1465+G1465+H1465)</x:f>
      </x:c>
      <x:c r="K1465" s="88" t="str">
        <x:f>IF(C1465="","",MAX(0,SUMIFS(SONDERZAHLUNGEN!$E$9:$E$128,SONDERZAHLUNGEN!$B$9:$B$128,C1465,SONDERZAHLUNGEN!$C$9:$C$128,A1465,SONDERZAHLUNGEN!$H$9:$H$128,"OK",SONDERZAHLUNGEN!$F$9:$F$128,"Ja")-G1465))</x:f>
      </x:c>
    </x:row>
    <x:row r="1466" ht="19" customHeight="1">
      <x:c r="A1466" s="90" t="n">
        <x:f>MONATSBUDGET!$A$80</x:f>
        <x:v>48427</x:v>
      </x:c>
      <x:c r="B1466" t="n">
        <x:f>7</x:f>
        <x:v>7</x:v>
      </x:c>
      <x:c r="C1466" t="str">
        <x:f>IF($N$15="","",$N$15)</x:f>
      </x:c>
      <x:c r="D1466" s="88" t="str">
        <x:f>IF(C1466="","",I1446)</x:f>
      </x:c>
      <x:c r="E1466" s="88" t="str">
        <x:f>IF(C1466="","",ROUND(D1466*$P$15/12,2))</x:f>
      </x:c>
      <x:c r="F1466" s="88" t="str">
        <x:f>IF(C1466="","",MIN(D1466+E1466,$Q$15))</x:f>
      </x:c>
      <x:c r="G1466" s="88" t="str">
        <x:f>IF(C1466="","",MIN(MAX(0,D1466+E1466-F1466),SUMIFS(SONDERZAHLUNGEN!$E$9:$E$128,SONDERZAHLUNGEN!$B$9:$B$128,C1466,SONDERZAHLUNGEN!$C$9:$C$128,A1466,SONDERZAHLUNGEN!$H$9:$H$128,"OK",SONDERZAHLUNGEN!$F$9:$F$128,"Ja")))</x:f>
      </x:c>
      <x:c r="H1466" s="88" t="str">
        <x:f>IF(C1466="","",MIN(MAX(0,D1466+E1466-F1466-G1466),MAX(0,IF(MONATSBUDGET!$C$80="",0,MONATSBUDGET!$C$80)-SUM(F1460:F1479)-SUM(H1460:H1465))))</x:f>
      </x:c>
      <x:c r="I1466" s="88" t="str">
        <x:f>IF(C1466="","",MAX(0,ROUND(D1466+E1466-F1466-G1466-H1466,2)))</x:f>
      </x:c>
      <x:c r="J1466" s="88" t="str">
        <x:f>IF(C1466="","",F1466+G1466+H1466)</x:f>
      </x:c>
      <x:c r="K1466" s="88" t="str">
        <x:f>IF(C1466="","",MAX(0,SUMIFS(SONDERZAHLUNGEN!$E$9:$E$128,SONDERZAHLUNGEN!$B$9:$B$128,C1466,SONDERZAHLUNGEN!$C$9:$C$128,A1466,SONDERZAHLUNGEN!$H$9:$H$128,"OK",SONDERZAHLUNGEN!$F$9:$F$128,"Ja")-G1466))</x:f>
      </x:c>
    </x:row>
    <x:row r="1467" ht="19" customHeight="1">
      <x:c r="A1467" s="90" t="n">
        <x:f>MONATSBUDGET!$A$80</x:f>
        <x:v>48427</x:v>
      </x:c>
      <x:c r="B1467" t="n">
        <x:f>8</x:f>
        <x:v>8</x:v>
      </x:c>
      <x:c r="C1467" t="str">
        <x:f>IF($N$16="","",$N$16)</x:f>
      </x:c>
      <x:c r="D1467" s="88" t="str">
        <x:f>IF(C1467="","",I1447)</x:f>
      </x:c>
      <x:c r="E1467" s="88" t="str">
        <x:f>IF(C1467="","",ROUND(D1467*$P$16/12,2))</x:f>
      </x:c>
      <x:c r="F1467" s="88" t="str">
        <x:f>IF(C1467="","",MIN(D1467+E1467,$Q$16))</x:f>
      </x:c>
      <x:c r="G1467" s="88" t="str">
        <x:f>IF(C1467="","",MIN(MAX(0,D1467+E1467-F1467),SUMIFS(SONDERZAHLUNGEN!$E$9:$E$128,SONDERZAHLUNGEN!$B$9:$B$128,C1467,SONDERZAHLUNGEN!$C$9:$C$128,A1467,SONDERZAHLUNGEN!$H$9:$H$128,"OK",SONDERZAHLUNGEN!$F$9:$F$128,"Ja")))</x:f>
      </x:c>
      <x:c r="H1467" s="88" t="str">
        <x:f>IF(C1467="","",MIN(MAX(0,D1467+E1467-F1467-G1467),MAX(0,IF(MONATSBUDGET!$C$80="",0,MONATSBUDGET!$C$80)-SUM(F1460:F1479)-SUM(H1460:H1466))))</x:f>
      </x:c>
      <x:c r="I1467" s="88" t="str">
        <x:f>IF(C1467="","",MAX(0,ROUND(D1467+E1467-F1467-G1467-H1467,2)))</x:f>
      </x:c>
      <x:c r="J1467" s="88" t="str">
        <x:f>IF(C1467="","",F1467+G1467+H1467)</x:f>
      </x:c>
      <x:c r="K1467" s="88" t="str">
        <x:f>IF(C1467="","",MAX(0,SUMIFS(SONDERZAHLUNGEN!$E$9:$E$128,SONDERZAHLUNGEN!$B$9:$B$128,C1467,SONDERZAHLUNGEN!$C$9:$C$128,A1467,SONDERZAHLUNGEN!$H$9:$H$128,"OK",SONDERZAHLUNGEN!$F$9:$F$128,"Ja")-G1467))</x:f>
      </x:c>
    </x:row>
    <x:row r="1468" ht="19" customHeight="1">
      <x:c r="A1468" s="90" t="n">
        <x:f>MONATSBUDGET!$A$80</x:f>
        <x:v>48427</x:v>
      </x:c>
      <x:c r="B1468" t="n">
        <x:f>9</x:f>
        <x:v>9</x:v>
      </x:c>
      <x:c r="C1468" t="str">
        <x:f>IF($N$17="","",$N$17)</x:f>
      </x:c>
      <x:c r="D1468" s="88" t="str">
        <x:f>IF(C1468="","",I1448)</x:f>
      </x:c>
      <x:c r="E1468" s="88" t="str">
        <x:f>IF(C1468="","",ROUND(D1468*$P$17/12,2))</x:f>
      </x:c>
      <x:c r="F1468" s="88" t="str">
        <x:f>IF(C1468="","",MIN(D1468+E1468,$Q$17))</x:f>
      </x:c>
      <x:c r="G1468" s="88" t="str">
        <x:f>IF(C1468="","",MIN(MAX(0,D1468+E1468-F1468),SUMIFS(SONDERZAHLUNGEN!$E$9:$E$128,SONDERZAHLUNGEN!$B$9:$B$128,C1468,SONDERZAHLUNGEN!$C$9:$C$128,A1468,SONDERZAHLUNGEN!$H$9:$H$128,"OK",SONDERZAHLUNGEN!$F$9:$F$128,"Ja")))</x:f>
      </x:c>
      <x:c r="H1468" s="88" t="str">
        <x:f>IF(C1468="","",MIN(MAX(0,D1468+E1468-F1468-G1468),MAX(0,IF(MONATSBUDGET!$C$80="",0,MONATSBUDGET!$C$80)-SUM(F1460:F1479)-SUM(H1460:H1467))))</x:f>
      </x:c>
      <x:c r="I1468" s="88" t="str">
        <x:f>IF(C1468="","",MAX(0,ROUND(D1468+E1468-F1468-G1468-H1468,2)))</x:f>
      </x:c>
      <x:c r="J1468" s="88" t="str">
        <x:f>IF(C1468="","",F1468+G1468+H1468)</x:f>
      </x:c>
      <x:c r="K1468" s="88" t="str">
        <x:f>IF(C1468="","",MAX(0,SUMIFS(SONDERZAHLUNGEN!$E$9:$E$128,SONDERZAHLUNGEN!$B$9:$B$128,C1468,SONDERZAHLUNGEN!$C$9:$C$128,A1468,SONDERZAHLUNGEN!$H$9:$H$128,"OK",SONDERZAHLUNGEN!$F$9:$F$128,"Ja")-G1468))</x:f>
      </x:c>
    </x:row>
    <x:row r="1469" ht="19" customHeight="1">
      <x:c r="A1469" s="90" t="n">
        <x:f>MONATSBUDGET!$A$80</x:f>
        <x:v>48427</x:v>
      </x:c>
      <x:c r="B1469" t="n">
        <x:f>10</x:f>
        <x:v>10</x:v>
      </x:c>
      <x:c r="C1469" t="str">
        <x:f>IF($N$18="","",$N$18)</x:f>
      </x:c>
      <x:c r="D1469" s="88" t="str">
        <x:f>IF(C1469="","",I1449)</x:f>
      </x:c>
      <x:c r="E1469" s="88" t="str">
        <x:f>IF(C1469="","",ROUND(D1469*$P$18/12,2))</x:f>
      </x:c>
      <x:c r="F1469" s="88" t="str">
        <x:f>IF(C1469="","",MIN(D1469+E1469,$Q$18))</x:f>
      </x:c>
      <x:c r="G1469" s="88" t="str">
        <x:f>IF(C1469="","",MIN(MAX(0,D1469+E1469-F1469),SUMIFS(SONDERZAHLUNGEN!$E$9:$E$128,SONDERZAHLUNGEN!$B$9:$B$128,C1469,SONDERZAHLUNGEN!$C$9:$C$128,A1469,SONDERZAHLUNGEN!$H$9:$H$128,"OK",SONDERZAHLUNGEN!$F$9:$F$128,"Ja")))</x:f>
      </x:c>
      <x:c r="H1469" s="88" t="str">
        <x:f>IF(C1469="","",MIN(MAX(0,D1469+E1469-F1469-G1469),MAX(0,IF(MONATSBUDGET!$C$80="",0,MONATSBUDGET!$C$80)-SUM(F1460:F1479)-SUM(H1460:H1468))))</x:f>
      </x:c>
      <x:c r="I1469" s="88" t="str">
        <x:f>IF(C1469="","",MAX(0,ROUND(D1469+E1469-F1469-G1469-H1469,2)))</x:f>
      </x:c>
      <x:c r="J1469" s="88" t="str">
        <x:f>IF(C1469="","",F1469+G1469+H1469)</x:f>
      </x:c>
      <x:c r="K1469" s="88" t="str">
        <x:f>IF(C1469="","",MAX(0,SUMIFS(SONDERZAHLUNGEN!$E$9:$E$128,SONDERZAHLUNGEN!$B$9:$B$128,C1469,SONDERZAHLUNGEN!$C$9:$C$128,A1469,SONDERZAHLUNGEN!$H$9:$H$128,"OK",SONDERZAHLUNGEN!$F$9:$F$128,"Ja")-G1469))</x:f>
      </x:c>
    </x:row>
    <x:row r="1470" ht="19" customHeight="1">
      <x:c r="A1470" s="90" t="n">
        <x:f>MONATSBUDGET!$A$80</x:f>
        <x:v>48427</x:v>
      </x:c>
      <x:c r="B1470" t="n">
        <x:f>11</x:f>
        <x:v>11</x:v>
      </x:c>
      <x:c r="C1470" t="str">
        <x:f>IF($N$19="","",$N$19)</x:f>
      </x:c>
      <x:c r="D1470" s="88" t="str">
        <x:f>IF(C1470="","",I1450)</x:f>
      </x:c>
      <x:c r="E1470" s="88" t="str">
        <x:f>IF(C1470="","",ROUND(D1470*$P$19/12,2))</x:f>
      </x:c>
      <x:c r="F1470" s="88" t="str">
        <x:f>IF(C1470="","",MIN(D1470+E1470,$Q$19))</x:f>
      </x:c>
      <x:c r="G1470" s="88" t="str">
        <x:f>IF(C1470="","",MIN(MAX(0,D1470+E1470-F1470),SUMIFS(SONDERZAHLUNGEN!$E$9:$E$128,SONDERZAHLUNGEN!$B$9:$B$128,C1470,SONDERZAHLUNGEN!$C$9:$C$128,A1470,SONDERZAHLUNGEN!$H$9:$H$128,"OK",SONDERZAHLUNGEN!$F$9:$F$128,"Ja")))</x:f>
      </x:c>
      <x:c r="H1470" s="88" t="str">
        <x:f>IF(C1470="","",MIN(MAX(0,D1470+E1470-F1470-G1470),MAX(0,IF(MONATSBUDGET!$C$80="",0,MONATSBUDGET!$C$80)-SUM(F1460:F1479)-SUM(H1460:H1469))))</x:f>
      </x:c>
      <x:c r="I1470" s="88" t="str">
        <x:f>IF(C1470="","",MAX(0,ROUND(D1470+E1470-F1470-G1470-H1470,2)))</x:f>
      </x:c>
      <x:c r="J1470" s="88" t="str">
        <x:f>IF(C1470="","",F1470+G1470+H1470)</x:f>
      </x:c>
      <x:c r="K1470" s="88" t="str">
        <x:f>IF(C1470="","",MAX(0,SUMIFS(SONDERZAHLUNGEN!$E$9:$E$128,SONDERZAHLUNGEN!$B$9:$B$128,C1470,SONDERZAHLUNGEN!$C$9:$C$128,A1470,SONDERZAHLUNGEN!$H$9:$H$128,"OK",SONDERZAHLUNGEN!$F$9:$F$128,"Ja")-G1470))</x:f>
      </x:c>
    </x:row>
    <x:row r="1471" ht="19" customHeight="1">
      <x:c r="A1471" s="90" t="n">
        <x:f>MONATSBUDGET!$A$80</x:f>
        <x:v>48427</x:v>
      </x:c>
      <x:c r="B1471" t="n">
        <x:f>12</x:f>
        <x:v>12</x:v>
      </x:c>
      <x:c r="C1471" t="str">
        <x:f>IF($N$20="","",$N$20)</x:f>
      </x:c>
      <x:c r="D1471" s="88" t="str">
        <x:f>IF(C1471="","",I1451)</x:f>
      </x:c>
      <x:c r="E1471" s="88" t="str">
        <x:f>IF(C1471="","",ROUND(D1471*$P$20/12,2))</x:f>
      </x:c>
      <x:c r="F1471" s="88" t="str">
        <x:f>IF(C1471="","",MIN(D1471+E1471,$Q$20))</x:f>
      </x:c>
      <x:c r="G1471" s="88" t="str">
        <x:f>IF(C1471="","",MIN(MAX(0,D1471+E1471-F1471),SUMIFS(SONDERZAHLUNGEN!$E$9:$E$128,SONDERZAHLUNGEN!$B$9:$B$128,C1471,SONDERZAHLUNGEN!$C$9:$C$128,A1471,SONDERZAHLUNGEN!$H$9:$H$128,"OK",SONDERZAHLUNGEN!$F$9:$F$128,"Ja")))</x:f>
      </x:c>
      <x:c r="H1471" s="88" t="str">
        <x:f>IF(C1471="","",MIN(MAX(0,D1471+E1471-F1471-G1471),MAX(0,IF(MONATSBUDGET!$C$80="",0,MONATSBUDGET!$C$80)-SUM(F1460:F1479)-SUM(H1460:H1470))))</x:f>
      </x:c>
      <x:c r="I1471" s="88" t="str">
        <x:f>IF(C1471="","",MAX(0,ROUND(D1471+E1471-F1471-G1471-H1471,2)))</x:f>
      </x:c>
      <x:c r="J1471" s="88" t="str">
        <x:f>IF(C1471="","",F1471+G1471+H1471)</x:f>
      </x:c>
      <x:c r="K1471" s="88" t="str">
        <x:f>IF(C1471="","",MAX(0,SUMIFS(SONDERZAHLUNGEN!$E$9:$E$128,SONDERZAHLUNGEN!$B$9:$B$128,C1471,SONDERZAHLUNGEN!$C$9:$C$128,A1471,SONDERZAHLUNGEN!$H$9:$H$128,"OK",SONDERZAHLUNGEN!$F$9:$F$128,"Ja")-G1471))</x:f>
      </x:c>
    </x:row>
    <x:row r="1472" ht="19" customHeight="1">
      <x:c r="A1472" s="90" t="n">
        <x:f>MONATSBUDGET!$A$80</x:f>
        <x:v>48427</x:v>
      </x:c>
      <x:c r="B1472" t="n">
        <x:f>13</x:f>
        <x:v>13</x:v>
      </x:c>
      <x:c r="C1472" t="str">
        <x:f>IF($N$21="","",$N$21)</x:f>
      </x:c>
      <x:c r="D1472" s="88" t="str">
        <x:f>IF(C1472="","",I1452)</x:f>
      </x:c>
      <x:c r="E1472" s="88" t="str">
        <x:f>IF(C1472="","",ROUND(D1472*$P$21/12,2))</x:f>
      </x:c>
      <x:c r="F1472" s="88" t="str">
        <x:f>IF(C1472="","",MIN(D1472+E1472,$Q$21))</x:f>
      </x:c>
      <x:c r="G1472" s="88" t="str">
        <x:f>IF(C1472="","",MIN(MAX(0,D1472+E1472-F1472),SUMIFS(SONDERZAHLUNGEN!$E$9:$E$128,SONDERZAHLUNGEN!$B$9:$B$128,C1472,SONDERZAHLUNGEN!$C$9:$C$128,A1472,SONDERZAHLUNGEN!$H$9:$H$128,"OK",SONDERZAHLUNGEN!$F$9:$F$128,"Ja")))</x:f>
      </x:c>
      <x:c r="H1472" s="88" t="str">
        <x:f>IF(C1472="","",MIN(MAX(0,D1472+E1472-F1472-G1472),MAX(0,IF(MONATSBUDGET!$C$80="",0,MONATSBUDGET!$C$80)-SUM(F1460:F1479)-SUM(H1460:H1471))))</x:f>
      </x:c>
      <x:c r="I1472" s="88" t="str">
        <x:f>IF(C1472="","",MAX(0,ROUND(D1472+E1472-F1472-G1472-H1472,2)))</x:f>
      </x:c>
      <x:c r="J1472" s="88" t="str">
        <x:f>IF(C1472="","",F1472+G1472+H1472)</x:f>
      </x:c>
      <x:c r="K1472" s="88" t="str">
        <x:f>IF(C1472="","",MAX(0,SUMIFS(SONDERZAHLUNGEN!$E$9:$E$128,SONDERZAHLUNGEN!$B$9:$B$128,C1472,SONDERZAHLUNGEN!$C$9:$C$128,A1472,SONDERZAHLUNGEN!$H$9:$H$128,"OK",SONDERZAHLUNGEN!$F$9:$F$128,"Ja")-G1472))</x:f>
      </x:c>
    </x:row>
    <x:row r="1473" ht="19" customHeight="1">
      <x:c r="A1473" s="90" t="n">
        <x:f>MONATSBUDGET!$A$80</x:f>
        <x:v>48427</x:v>
      </x:c>
      <x:c r="B1473" t="n">
        <x:f>14</x:f>
        <x:v>14</x:v>
      </x:c>
      <x:c r="C1473" t="str">
        <x:f>IF($N$22="","",$N$22)</x:f>
      </x:c>
      <x:c r="D1473" s="88" t="str">
        <x:f>IF(C1473="","",I1453)</x:f>
      </x:c>
      <x:c r="E1473" s="88" t="str">
        <x:f>IF(C1473="","",ROUND(D1473*$P$22/12,2))</x:f>
      </x:c>
      <x:c r="F1473" s="88" t="str">
        <x:f>IF(C1473="","",MIN(D1473+E1473,$Q$22))</x:f>
      </x:c>
      <x:c r="G1473" s="88" t="str">
        <x:f>IF(C1473="","",MIN(MAX(0,D1473+E1473-F1473),SUMIFS(SONDERZAHLUNGEN!$E$9:$E$128,SONDERZAHLUNGEN!$B$9:$B$128,C1473,SONDERZAHLUNGEN!$C$9:$C$128,A1473,SONDERZAHLUNGEN!$H$9:$H$128,"OK",SONDERZAHLUNGEN!$F$9:$F$128,"Ja")))</x:f>
      </x:c>
      <x:c r="H1473" s="88" t="str">
        <x:f>IF(C1473="","",MIN(MAX(0,D1473+E1473-F1473-G1473),MAX(0,IF(MONATSBUDGET!$C$80="",0,MONATSBUDGET!$C$80)-SUM(F1460:F1479)-SUM(H1460:H1472))))</x:f>
      </x:c>
      <x:c r="I1473" s="88" t="str">
        <x:f>IF(C1473="","",MAX(0,ROUND(D1473+E1473-F1473-G1473-H1473,2)))</x:f>
      </x:c>
      <x:c r="J1473" s="88" t="str">
        <x:f>IF(C1473="","",F1473+G1473+H1473)</x:f>
      </x:c>
      <x:c r="K1473" s="88" t="str">
        <x:f>IF(C1473="","",MAX(0,SUMIFS(SONDERZAHLUNGEN!$E$9:$E$128,SONDERZAHLUNGEN!$B$9:$B$128,C1473,SONDERZAHLUNGEN!$C$9:$C$128,A1473,SONDERZAHLUNGEN!$H$9:$H$128,"OK",SONDERZAHLUNGEN!$F$9:$F$128,"Ja")-G1473))</x:f>
      </x:c>
    </x:row>
    <x:row r="1474" ht="19" customHeight="1">
      <x:c r="A1474" s="90" t="n">
        <x:f>MONATSBUDGET!$A$80</x:f>
        <x:v>48427</x:v>
      </x:c>
      <x:c r="B1474" t="n">
        <x:f>15</x:f>
        <x:v>15</x:v>
      </x:c>
      <x:c r="C1474" t="str">
        <x:f>IF($N$23="","",$N$23)</x:f>
      </x:c>
      <x:c r="D1474" s="88" t="str">
        <x:f>IF(C1474="","",I1454)</x:f>
      </x:c>
      <x:c r="E1474" s="88" t="str">
        <x:f>IF(C1474="","",ROUND(D1474*$P$23/12,2))</x:f>
      </x:c>
      <x:c r="F1474" s="88" t="str">
        <x:f>IF(C1474="","",MIN(D1474+E1474,$Q$23))</x:f>
      </x:c>
      <x:c r="G1474" s="88" t="str">
        <x:f>IF(C1474="","",MIN(MAX(0,D1474+E1474-F1474),SUMIFS(SONDERZAHLUNGEN!$E$9:$E$128,SONDERZAHLUNGEN!$B$9:$B$128,C1474,SONDERZAHLUNGEN!$C$9:$C$128,A1474,SONDERZAHLUNGEN!$H$9:$H$128,"OK",SONDERZAHLUNGEN!$F$9:$F$128,"Ja")))</x:f>
      </x:c>
      <x:c r="H1474" s="88" t="str">
        <x:f>IF(C1474="","",MIN(MAX(0,D1474+E1474-F1474-G1474),MAX(0,IF(MONATSBUDGET!$C$80="",0,MONATSBUDGET!$C$80)-SUM(F1460:F1479)-SUM(H1460:H1473))))</x:f>
      </x:c>
      <x:c r="I1474" s="88" t="str">
        <x:f>IF(C1474="","",MAX(0,ROUND(D1474+E1474-F1474-G1474-H1474,2)))</x:f>
      </x:c>
      <x:c r="J1474" s="88" t="str">
        <x:f>IF(C1474="","",F1474+G1474+H1474)</x:f>
      </x:c>
      <x:c r="K1474" s="88" t="str">
        <x:f>IF(C1474="","",MAX(0,SUMIFS(SONDERZAHLUNGEN!$E$9:$E$128,SONDERZAHLUNGEN!$B$9:$B$128,C1474,SONDERZAHLUNGEN!$C$9:$C$128,A1474,SONDERZAHLUNGEN!$H$9:$H$128,"OK",SONDERZAHLUNGEN!$F$9:$F$128,"Ja")-G1474))</x:f>
      </x:c>
    </x:row>
    <x:row r="1475" ht="19" customHeight="1">
      <x:c r="A1475" s="90" t="n">
        <x:f>MONATSBUDGET!$A$80</x:f>
        <x:v>48427</x:v>
      </x:c>
      <x:c r="B1475" t="n">
        <x:f>16</x:f>
        <x:v>16</x:v>
      </x:c>
      <x:c r="C1475" t="str">
        <x:f>IF($N$24="","",$N$24)</x:f>
      </x:c>
      <x:c r="D1475" s="88" t="str">
        <x:f>IF(C1475="","",I1455)</x:f>
      </x:c>
      <x:c r="E1475" s="88" t="str">
        <x:f>IF(C1475="","",ROUND(D1475*$P$24/12,2))</x:f>
      </x:c>
      <x:c r="F1475" s="88" t="str">
        <x:f>IF(C1475="","",MIN(D1475+E1475,$Q$24))</x:f>
      </x:c>
      <x:c r="G1475" s="88" t="str">
        <x:f>IF(C1475="","",MIN(MAX(0,D1475+E1475-F1475),SUMIFS(SONDERZAHLUNGEN!$E$9:$E$128,SONDERZAHLUNGEN!$B$9:$B$128,C1475,SONDERZAHLUNGEN!$C$9:$C$128,A1475,SONDERZAHLUNGEN!$H$9:$H$128,"OK",SONDERZAHLUNGEN!$F$9:$F$128,"Ja")))</x:f>
      </x:c>
      <x:c r="H1475" s="88" t="str">
        <x:f>IF(C1475="","",MIN(MAX(0,D1475+E1475-F1475-G1475),MAX(0,IF(MONATSBUDGET!$C$80="",0,MONATSBUDGET!$C$80)-SUM(F1460:F1479)-SUM(H1460:H1474))))</x:f>
      </x:c>
      <x:c r="I1475" s="88" t="str">
        <x:f>IF(C1475="","",MAX(0,ROUND(D1475+E1475-F1475-G1475-H1475,2)))</x:f>
      </x:c>
      <x:c r="J1475" s="88" t="str">
        <x:f>IF(C1475="","",F1475+G1475+H1475)</x:f>
      </x:c>
      <x:c r="K1475" s="88" t="str">
        <x:f>IF(C1475="","",MAX(0,SUMIFS(SONDERZAHLUNGEN!$E$9:$E$128,SONDERZAHLUNGEN!$B$9:$B$128,C1475,SONDERZAHLUNGEN!$C$9:$C$128,A1475,SONDERZAHLUNGEN!$H$9:$H$128,"OK",SONDERZAHLUNGEN!$F$9:$F$128,"Ja")-G1475))</x:f>
      </x:c>
    </x:row>
    <x:row r="1476" ht="19" customHeight="1">
      <x:c r="A1476" s="90" t="n">
        <x:f>MONATSBUDGET!$A$80</x:f>
        <x:v>48427</x:v>
      </x:c>
      <x:c r="B1476" t="n">
        <x:f>17</x:f>
        <x:v>17</x:v>
      </x:c>
      <x:c r="C1476" t="str">
        <x:f>IF($N$25="","",$N$25)</x:f>
      </x:c>
      <x:c r="D1476" s="88" t="str">
        <x:f>IF(C1476="","",I1456)</x:f>
      </x:c>
      <x:c r="E1476" s="88" t="str">
        <x:f>IF(C1476="","",ROUND(D1476*$P$25/12,2))</x:f>
      </x:c>
      <x:c r="F1476" s="88" t="str">
        <x:f>IF(C1476="","",MIN(D1476+E1476,$Q$25))</x:f>
      </x:c>
      <x:c r="G1476" s="88" t="str">
        <x:f>IF(C1476="","",MIN(MAX(0,D1476+E1476-F1476),SUMIFS(SONDERZAHLUNGEN!$E$9:$E$128,SONDERZAHLUNGEN!$B$9:$B$128,C1476,SONDERZAHLUNGEN!$C$9:$C$128,A1476,SONDERZAHLUNGEN!$H$9:$H$128,"OK",SONDERZAHLUNGEN!$F$9:$F$128,"Ja")))</x:f>
      </x:c>
      <x:c r="H1476" s="88" t="str">
        <x:f>IF(C1476="","",MIN(MAX(0,D1476+E1476-F1476-G1476),MAX(0,IF(MONATSBUDGET!$C$80="",0,MONATSBUDGET!$C$80)-SUM(F1460:F1479)-SUM(H1460:H1475))))</x:f>
      </x:c>
      <x:c r="I1476" s="88" t="str">
        <x:f>IF(C1476="","",MAX(0,ROUND(D1476+E1476-F1476-G1476-H1476,2)))</x:f>
      </x:c>
      <x:c r="J1476" s="88" t="str">
        <x:f>IF(C1476="","",F1476+G1476+H1476)</x:f>
      </x:c>
      <x:c r="K1476" s="88" t="str">
        <x:f>IF(C1476="","",MAX(0,SUMIFS(SONDERZAHLUNGEN!$E$9:$E$128,SONDERZAHLUNGEN!$B$9:$B$128,C1476,SONDERZAHLUNGEN!$C$9:$C$128,A1476,SONDERZAHLUNGEN!$H$9:$H$128,"OK",SONDERZAHLUNGEN!$F$9:$F$128,"Ja")-G1476))</x:f>
      </x:c>
    </x:row>
    <x:row r="1477" ht="19" customHeight="1">
      <x:c r="A1477" s="90" t="n">
        <x:f>MONATSBUDGET!$A$80</x:f>
        <x:v>48427</x:v>
      </x:c>
      <x:c r="B1477" t="n">
        <x:f>18</x:f>
        <x:v>18</x:v>
      </x:c>
      <x:c r="C1477" t="str">
        <x:f>IF($N$26="","",$N$26)</x:f>
      </x:c>
      <x:c r="D1477" s="88" t="str">
        <x:f>IF(C1477="","",I1457)</x:f>
      </x:c>
      <x:c r="E1477" s="88" t="str">
        <x:f>IF(C1477="","",ROUND(D1477*$P$26/12,2))</x:f>
      </x:c>
      <x:c r="F1477" s="88" t="str">
        <x:f>IF(C1477="","",MIN(D1477+E1477,$Q$26))</x:f>
      </x:c>
      <x:c r="G1477" s="88" t="str">
        <x:f>IF(C1477="","",MIN(MAX(0,D1477+E1477-F1477),SUMIFS(SONDERZAHLUNGEN!$E$9:$E$128,SONDERZAHLUNGEN!$B$9:$B$128,C1477,SONDERZAHLUNGEN!$C$9:$C$128,A1477,SONDERZAHLUNGEN!$H$9:$H$128,"OK",SONDERZAHLUNGEN!$F$9:$F$128,"Ja")))</x:f>
      </x:c>
      <x:c r="H1477" s="88" t="str">
        <x:f>IF(C1477="","",MIN(MAX(0,D1477+E1477-F1477-G1477),MAX(0,IF(MONATSBUDGET!$C$80="",0,MONATSBUDGET!$C$80)-SUM(F1460:F1479)-SUM(H1460:H1476))))</x:f>
      </x:c>
      <x:c r="I1477" s="88" t="str">
        <x:f>IF(C1477="","",MAX(0,ROUND(D1477+E1477-F1477-G1477-H1477,2)))</x:f>
      </x:c>
      <x:c r="J1477" s="88" t="str">
        <x:f>IF(C1477="","",F1477+G1477+H1477)</x:f>
      </x:c>
      <x:c r="K1477" s="88" t="str">
        <x:f>IF(C1477="","",MAX(0,SUMIFS(SONDERZAHLUNGEN!$E$9:$E$128,SONDERZAHLUNGEN!$B$9:$B$128,C1477,SONDERZAHLUNGEN!$C$9:$C$128,A1477,SONDERZAHLUNGEN!$H$9:$H$128,"OK",SONDERZAHLUNGEN!$F$9:$F$128,"Ja")-G1477))</x:f>
      </x:c>
    </x:row>
    <x:row r="1478" ht="19" customHeight="1">
      <x:c r="A1478" s="90" t="n">
        <x:f>MONATSBUDGET!$A$80</x:f>
        <x:v>48427</x:v>
      </x:c>
      <x:c r="B1478" t="n">
        <x:f>19</x:f>
        <x:v>19</x:v>
      </x:c>
      <x:c r="C1478" t="str">
        <x:f>IF($N$27="","",$N$27)</x:f>
      </x:c>
      <x:c r="D1478" s="88" t="str">
        <x:f>IF(C1478="","",I1458)</x:f>
      </x:c>
      <x:c r="E1478" s="88" t="str">
        <x:f>IF(C1478="","",ROUND(D1478*$P$27/12,2))</x:f>
      </x:c>
      <x:c r="F1478" s="88" t="str">
        <x:f>IF(C1478="","",MIN(D1478+E1478,$Q$27))</x:f>
      </x:c>
      <x:c r="G1478" s="88" t="str">
        <x:f>IF(C1478="","",MIN(MAX(0,D1478+E1478-F1478),SUMIFS(SONDERZAHLUNGEN!$E$9:$E$128,SONDERZAHLUNGEN!$B$9:$B$128,C1478,SONDERZAHLUNGEN!$C$9:$C$128,A1478,SONDERZAHLUNGEN!$H$9:$H$128,"OK",SONDERZAHLUNGEN!$F$9:$F$128,"Ja")))</x:f>
      </x:c>
      <x:c r="H1478" s="88" t="str">
        <x:f>IF(C1478="","",MIN(MAX(0,D1478+E1478-F1478-G1478),MAX(0,IF(MONATSBUDGET!$C$80="",0,MONATSBUDGET!$C$80)-SUM(F1460:F1479)-SUM(H1460:H1477))))</x:f>
      </x:c>
      <x:c r="I1478" s="88" t="str">
        <x:f>IF(C1478="","",MAX(0,ROUND(D1478+E1478-F1478-G1478-H1478,2)))</x:f>
      </x:c>
      <x:c r="J1478" s="88" t="str">
        <x:f>IF(C1478="","",F1478+G1478+H1478)</x:f>
      </x:c>
      <x:c r="K1478" s="88" t="str">
        <x:f>IF(C1478="","",MAX(0,SUMIFS(SONDERZAHLUNGEN!$E$9:$E$128,SONDERZAHLUNGEN!$B$9:$B$128,C1478,SONDERZAHLUNGEN!$C$9:$C$128,A1478,SONDERZAHLUNGEN!$H$9:$H$128,"OK",SONDERZAHLUNGEN!$F$9:$F$128,"Ja")-G1478))</x:f>
      </x:c>
    </x:row>
    <x:row r="1479" ht="19" customHeight="1">
      <x:c r="A1479" s="90" t="n">
        <x:f>MONATSBUDGET!$A$80</x:f>
        <x:v>48427</x:v>
      </x:c>
      <x:c r="B1479" t="n">
        <x:f>20</x:f>
        <x:v>20</x:v>
      </x:c>
      <x:c r="C1479" t="str">
        <x:f>IF($N$28="","",$N$28)</x:f>
      </x:c>
      <x:c r="D1479" s="88" t="str">
        <x:f>IF(C1479="","",I1459)</x:f>
      </x:c>
      <x:c r="E1479" s="88" t="str">
        <x:f>IF(C1479="","",ROUND(D1479*$P$28/12,2))</x:f>
      </x:c>
      <x:c r="F1479" s="88" t="str">
        <x:f>IF(C1479="","",MIN(D1479+E1479,$Q$28))</x:f>
      </x:c>
      <x:c r="G1479" s="88" t="str">
        <x:f>IF(C1479="","",MIN(MAX(0,D1479+E1479-F1479),SUMIFS(SONDERZAHLUNGEN!$E$9:$E$128,SONDERZAHLUNGEN!$B$9:$B$128,C1479,SONDERZAHLUNGEN!$C$9:$C$128,A1479,SONDERZAHLUNGEN!$H$9:$H$128,"OK",SONDERZAHLUNGEN!$F$9:$F$128,"Ja")))</x:f>
      </x:c>
      <x:c r="H1479" s="88" t="str">
        <x:f>IF(C1479="","",MIN(MAX(0,D1479+E1479-F1479-G1479),MAX(0,IF(MONATSBUDGET!$C$80="",0,MONATSBUDGET!$C$80)-SUM(F1460:F1479)-SUM(H1460:H1478))))</x:f>
      </x:c>
      <x:c r="I1479" s="88" t="str">
        <x:f>IF(C1479="","",MAX(0,ROUND(D1479+E1479-F1479-G1479-H1479,2)))</x:f>
      </x:c>
      <x:c r="J1479" s="88" t="str">
        <x:f>IF(C1479="","",F1479+G1479+H1479)</x:f>
      </x:c>
      <x:c r="K1479" s="88" t="str">
        <x:f>IF(C1479="","",MAX(0,SUMIFS(SONDERZAHLUNGEN!$E$9:$E$128,SONDERZAHLUNGEN!$B$9:$B$128,C1479,SONDERZAHLUNGEN!$C$9:$C$128,A1479,SONDERZAHLUNGEN!$H$9:$H$128,"OK",SONDERZAHLUNGEN!$F$9:$F$128,"Ja")-G1479))</x:f>
      </x:c>
    </x:row>
  </x:sheetData>
  <x:mergeCells>
    <x:mergeCell ref="A1:K2"/>
    <x:mergeCell ref="A3:K3"/>
    <x:mergeCell ref="A5:K5"/>
    <x:mergeCell ref="A36:K36"/>
  </x:mergeCells>
  <x:conditionalFormatting sqref="K40:K1479">
    <x:cfRule type="expression" dxfId="6" priority="1">
      <x:formula>AND(ISNUMBER(K40),K40&gt;0)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9" hidden="0" customWidth="1"/>
    <x:col min="3" max="3" width="13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20" hidden="0" customWidth="1"/>
    <x:col min="10" max="10" width="19" hidden="0" customWidth="1"/>
    <x:col min="11" max="11" width="20" hidden="0" customWidth="1"/>
    <x:col min="12" max="12" width="3" hidden="0" customWidth="1"/>
    <x:col min="13" max="13" width="10" hidden="0" customWidth="1"/>
    <x:col min="14" max="14" width="17" hidden="0" customWidth="1"/>
    <x:col min="15" max="15" width="30" hidden="0" customWidth="1"/>
    <x:col min="16" max="16" width="17" hidden="0" customWidth="1"/>
    <x:col min="17" max="17" width="26" hidden="0" customWidth="1"/>
  </x:cols>
  <x:sheetData>
    <x:row r="1" ht="29" customHeight="1">
      <x:c r="A1" s="4" t="str">
        <x:v>NURGELD.DE  /  ZINS-LAWINE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8" customHeight="1">
      <x:c r="A3" s="10" t="str">
        <x:v>MONATLICHER GLÄUBIGERPLAN  ·  20 Forderungen je Monat  ·  72 Monate  ·  Berechnungen nicht überschreiben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</x:row>
    <x:row r="4" ht="21" customHeight="1"/>
    <x:row r="5" ht="42" customHeight="1">
      <x:c r="A5" s="37" t="str">
        <x:v>Rechenweg: Anfangssaldo + Monatszinsen – Mindestrate – zusätzliche Sonderzahlung – Zusatzrate = Restsaldo. Sonderzahlungen sind nicht Teil des Monatsbudgets.</x:v>
      </x:c>
      <x:c r="B5" s="37"/>
      <x:c r="C5" s="37"/>
      <x:c r="D5" s="37"/>
      <x:c r="E5" s="37"/>
      <x:c r="F5" s="37"/>
      <x:c r="G5" s="37"/>
      <x:c r="H5" s="37"/>
      <x:c r="I5" s="37"/>
      <x:c r="J5" s="37"/>
      <x:c r="K5" s="37"/>
    </x:row>
    <x:row r="6" ht="21" customHeight="1"/>
    <x:row r="7" ht="21" customHeight="1"/>
    <x:row r="8" ht="41" customHeight="1">
      <x:c r="A8" s="66" t="str">
        <x:v>Monat</x:v>
      </x:c>
      <x:c r="B8" s="66" t="str">
        <x:v>Rang</x:v>
      </x:c>
      <x:c r="C8" s="66" t="str">
        <x:v>Gläubiger-ID</x:v>
      </x:c>
      <x:c r="D8" s="66" t="str">
        <x:v>Anfang (€)</x:v>
      </x:c>
      <x:c r="E8" s="66" t="str">
        <x:v>Zinsen (€)</x:v>
      </x:c>
      <x:c r="F8" s="66" t="str">
        <x:v>Mindestrate (€)</x:v>
      </x:c>
      <x:c r="G8" s="66" t="str">
        <x:v>Sonder (€)</x:v>
      </x:c>
      <x:c r="H8" s="66" t="str">
        <x:v>Extra (€)</x:v>
      </x:c>
      <x:c r="I8" s="66" t="str">
        <x:v>Rest (€)</x:v>
      </x:c>
      <x:c r="J8" s="66" t="str">
        <x:v>Gesamt gezahlt (€)</x:v>
      </x:c>
      <x:c r="K8" s="66" t="str">
        <x:v>Sonder ungenutzt (€)</x:v>
      </x:c>
      <x:c r="M8" s="83" t="str">
        <x:v>Rang</x:v>
      </x:c>
      <x:c r="N8" s="83" t="str">
        <x:v>Gläubiger-ID</x:v>
      </x:c>
      <x:c r="O8" s="83" t="str">
        <x:v>Gläubiger (auto)</x:v>
      </x:c>
      <x:c r="P8" s="83" t="str">
        <x:v>Zins p.a.</x:v>
      </x:c>
      <x:c r="Q8" s="83" t="str">
        <x:v>Vereinbarte Mindestrate (€)</x:v>
      </x:c>
    </x:row>
    <x:row r="9" ht="21" customHeight="1">
      <x:c r="M9" t="n">
        <x:v>1</x:v>
      </x:c>
      <x:c r="N9" t="str">
        <x:f>IFERROR(INDEX(FORDERUNGEN!$A$9:$A$28,MATCH(M9,FORDERUNGEN!$M$9:$M$28,0)),"")</x:f>
      </x:c>
      <x:c r="O9" t="str">
        <x:f>IF(N9="","",INDEX(FORDERUNGEN!$B$9:$B$28,MATCH(N9,FORDERUNGEN!$A$9:$A$28,0)))</x:f>
      </x:c>
      <x:c r="P9" s="86" t="str">
        <x:f>IF(N9="","",INDEX(FORDERUNGEN!$F$9:$F$28,MATCH(N9,FORDERUNGEN!$A$9:$A$28,0)))</x:f>
      </x:c>
      <x:c r="Q9" s="88" t="str">
        <x:f>IF(N9="","",INDEX(FORDERUNGEN!$G$9:$G$28,MATCH(N9,FORDERUNGEN!$A$9:$A$28,0)))</x:f>
      </x:c>
    </x:row>
    <x:row r="10" ht="21" customHeight="1">
      <x:c r="M10" t="n">
        <x:v>2</x:v>
      </x:c>
      <x:c r="N10" t="str">
        <x:f>IFERROR(INDEX(FORDERUNGEN!$A$9:$A$28,MATCH(M10,FORDERUNGEN!$M$9:$M$28,0)),"")</x:f>
      </x:c>
      <x:c r="O10" t="str">
        <x:f>IF(N10="","",INDEX(FORDERUNGEN!$B$9:$B$28,MATCH(N10,FORDERUNGEN!$A$9:$A$28,0)))</x:f>
      </x:c>
      <x:c r="P10" s="86" t="str">
        <x:f>IF(N10="","",INDEX(FORDERUNGEN!$F$9:$F$28,MATCH(N10,FORDERUNGEN!$A$9:$A$28,0)))</x:f>
      </x:c>
      <x:c r="Q10" s="88" t="str">
        <x:f>IF(N10="","",INDEX(FORDERUNGEN!$G$9:$G$28,MATCH(N10,FORDERUNGEN!$A$9:$A$28,0)))</x:f>
      </x:c>
    </x:row>
    <x:row r="11" ht="21" customHeight="1">
      <x:c r="M11" t="n">
        <x:v>3</x:v>
      </x:c>
      <x:c r="N11" t="str">
        <x:f>IFERROR(INDEX(FORDERUNGEN!$A$9:$A$28,MATCH(M11,FORDERUNGEN!$M$9:$M$28,0)),"")</x:f>
      </x:c>
      <x:c r="O11" t="str">
        <x:f>IF(N11="","",INDEX(FORDERUNGEN!$B$9:$B$28,MATCH(N11,FORDERUNGEN!$A$9:$A$28,0)))</x:f>
      </x:c>
      <x:c r="P11" s="86" t="str">
        <x:f>IF(N11="","",INDEX(FORDERUNGEN!$F$9:$F$28,MATCH(N11,FORDERUNGEN!$A$9:$A$28,0)))</x:f>
      </x:c>
      <x:c r="Q11" s="88" t="str">
        <x:f>IF(N11="","",INDEX(FORDERUNGEN!$G$9:$G$28,MATCH(N11,FORDERUNGEN!$A$9:$A$28,0)))</x:f>
      </x:c>
    </x:row>
    <x:row r="12" ht="21" customHeight="1">
      <x:c r="M12" t="n">
        <x:v>4</x:v>
      </x:c>
      <x:c r="N12" t="str">
        <x:f>IFERROR(INDEX(FORDERUNGEN!$A$9:$A$28,MATCH(M12,FORDERUNGEN!$M$9:$M$28,0)),"")</x:f>
      </x:c>
      <x:c r="O12" t="str">
        <x:f>IF(N12="","",INDEX(FORDERUNGEN!$B$9:$B$28,MATCH(N12,FORDERUNGEN!$A$9:$A$28,0)))</x:f>
      </x:c>
      <x:c r="P12" s="86" t="str">
        <x:f>IF(N12="","",INDEX(FORDERUNGEN!$F$9:$F$28,MATCH(N12,FORDERUNGEN!$A$9:$A$28,0)))</x:f>
      </x:c>
      <x:c r="Q12" s="88" t="str">
        <x:f>IF(N12="","",INDEX(FORDERUNGEN!$G$9:$G$28,MATCH(N12,FORDERUNGEN!$A$9:$A$28,0)))</x:f>
      </x:c>
    </x:row>
    <x:row r="13" ht="21" customHeight="1">
      <x:c r="M13" t="n">
        <x:v>5</x:v>
      </x:c>
      <x:c r="N13" t="str">
        <x:f>IFERROR(INDEX(FORDERUNGEN!$A$9:$A$28,MATCH(M13,FORDERUNGEN!$M$9:$M$28,0)),"")</x:f>
      </x:c>
      <x:c r="O13" t="str">
        <x:f>IF(N13="","",INDEX(FORDERUNGEN!$B$9:$B$28,MATCH(N13,FORDERUNGEN!$A$9:$A$28,0)))</x:f>
      </x:c>
      <x:c r="P13" s="86" t="str">
        <x:f>IF(N13="","",INDEX(FORDERUNGEN!$F$9:$F$28,MATCH(N13,FORDERUNGEN!$A$9:$A$28,0)))</x:f>
      </x:c>
      <x:c r="Q13" s="88" t="str">
        <x:f>IF(N13="","",INDEX(FORDERUNGEN!$G$9:$G$28,MATCH(N13,FORDERUNGEN!$A$9:$A$28,0)))</x:f>
      </x:c>
    </x:row>
    <x:row r="14" ht="21" customHeight="1">
      <x:c r="M14" t="n">
        <x:v>6</x:v>
      </x:c>
      <x:c r="N14" t="str">
        <x:f>IFERROR(INDEX(FORDERUNGEN!$A$9:$A$28,MATCH(M14,FORDERUNGEN!$M$9:$M$28,0)),"")</x:f>
      </x:c>
      <x:c r="O14" t="str">
        <x:f>IF(N14="","",INDEX(FORDERUNGEN!$B$9:$B$28,MATCH(N14,FORDERUNGEN!$A$9:$A$28,0)))</x:f>
      </x:c>
      <x:c r="P14" s="86" t="str">
        <x:f>IF(N14="","",INDEX(FORDERUNGEN!$F$9:$F$28,MATCH(N14,FORDERUNGEN!$A$9:$A$28,0)))</x:f>
      </x:c>
      <x:c r="Q14" s="88" t="str">
        <x:f>IF(N14="","",INDEX(FORDERUNGEN!$G$9:$G$28,MATCH(N14,FORDERUNGEN!$A$9:$A$28,0)))</x:f>
      </x:c>
    </x:row>
    <x:row r="15" ht="21" customHeight="1">
      <x:c r="M15" t="n">
        <x:v>7</x:v>
      </x:c>
      <x:c r="N15" t="str">
        <x:f>IFERROR(INDEX(FORDERUNGEN!$A$9:$A$28,MATCH(M15,FORDERUNGEN!$M$9:$M$28,0)),"")</x:f>
      </x:c>
      <x:c r="O15" t="str">
        <x:f>IF(N15="","",INDEX(FORDERUNGEN!$B$9:$B$28,MATCH(N15,FORDERUNGEN!$A$9:$A$28,0)))</x:f>
      </x:c>
      <x:c r="P15" s="86" t="str">
        <x:f>IF(N15="","",INDEX(FORDERUNGEN!$F$9:$F$28,MATCH(N15,FORDERUNGEN!$A$9:$A$28,0)))</x:f>
      </x:c>
      <x:c r="Q15" s="88" t="str">
        <x:f>IF(N15="","",INDEX(FORDERUNGEN!$G$9:$G$28,MATCH(N15,FORDERUNGEN!$A$9:$A$28,0)))</x:f>
      </x:c>
    </x:row>
    <x:row r="16" ht="21" customHeight="1">
      <x:c r="M16" t="n">
        <x:v>8</x:v>
      </x:c>
      <x:c r="N16" t="str">
        <x:f>IFERROR(INDEX(FORDERUNGEN!$A$9:$A$28,MATCH(M16,FORDERUNGEN!$M$9:$M$28,0)),"")</x:f>
      </x:c>
      <x:c r="O16" t="str">
        <x:f>IF(N16="","",INDEX(FORDERUNGEN!$B$9:$B$28,MATCH(N16,FORDERUNGEN!$A$9:$A$28,0)))</x:f>
      </x:c>
      <x:c r="P16" s="86" t="str">
        <x:f>IF(N16="","",INDEX(FORDERUNGEN!$F$9:$F$28,MATCH(N16,FORDERUNGEN!$A$9:$A$28,0)))</x:f>
      </x:c>
      <x:c r="Q16" s="88" t="str">
        <x:f>IF(N16="","",INDEX(FORDERUNGEN!$G$9:$G$28,MATCH(N16,FORDERUNGEN!$A$9:$A$28,0)))</x:f>
      </x:c>
    </x:row>
    <x:row r="17" ht="21" customHeight="1">
      <x:c r="M17" t="n">
        <x:v>9</x:v>
      </x:c>
      <x:c r="N17" t="str">
        <x:f>IFERROR(INDEX(FORDERUNGEN!$A$9:$A$28,MATCH(M17,FORDERUNGEN!$M$9:$M$28,0)),"")</x:f>
      </x:c>
      <x:c r="O17" t="str">
        <x:f>IF(N17="","",INDEX(FORDERUNGEN!$B$9:$B$28,MATCH(N17,FORDERUNGEN!$A$9:$A$28,0)))</x:f>
      </x:c>
      <x:c r="P17" s="86" t="str">
        <x:f>IF(N17="","",INDEX(FORDERUNGEN!$F$9:$F$28,MATCH(N17,FORDERUNGEN!$A$9:$A$28,0)))</x:f>
      </x:c>
      <x:c r="Q17" s="88" t="str">
        <x:f>IF(N17="","",INDEX(FORDERUNGEN!$G$9:$G$28,MATCH(N17,FORDERUNGEN!$A$9:$A$28,0)))</x:f>
      </x:c>
    </x:row>
    <x:row r="18" ht="21" customHeight="1">
      <x:c r="M18" t="n">
        <x:v>10</x:v>
      </x:c>
      <x:c r="N18" t="str">
        <x:f>IFERROR(INDEX(FORDERUNGEN!$A$9:$A$28,MATCH(M18,FORDERUNGEN!$M$9:$M$28,0)),"")</x:f>
      </x:c>
      <x:c r="O18" t="str">
        <x:f>IF(N18="","",INDEX(FORDERUNGEN!$B$9:$B$28,MATCH(N18,FORDERUNGEN!$A$9:$A$28,0)))</x:f>
      </x:c>
      <x:c r="P18" s="86" t="str">
        <x:f>IF(N18="","",INDEX(FORDERUNGEN!$F$9:$F$28,MATCH(N18,FORDERUNGEN!$A$9:$A$28,0)))</x:f>
      </x:c>
      <x:c r="Q18" s="88" t="str">
        <x:f>IF(N18="","",INDEX(FORDERUNGEN!$G$9:$G$28,MATCH(N18,FORDERUNGEN!$A$9:$A$28,0)))</x:f>
      </x:c>
    </x:row>
    <x:row r="19" ht="21" customHeight="1">
      <x:c r="M19" t="n">
        <x:v>11</x:v>
      </x:c>
      <x:c r="N19" t="str">
        <x:f>IFERROR(INDEX(FORDERUNGEN!$A$9:$A$28,MATCH(M19,FORDERUNGEN!$M$9:$M$28,0)),"")</x:f>
      </x:c>
      <x:c r="O19" t="str">
        <x:f>IF(N19="","",INDEX(FORDERUNGEN!$B$9:$B$28,MATCH(N19,FORDERUNGEN!$A$9:$A$28,0)))</x:f>
      </x:c>
      <x:c r="P19" s="86" t="str">
        <x:f>IF(N19="","",INDEX(FORDERUNGEN!$F$9:$F$28,MATCH(N19,FORDERUNGEN!$A$9:$A$28,0)))</x:f>
      </x:c>
      <x:c r="Q19" s="88" t="str">
        <x:f>IF(N19="","",INDEX(FORDERUNGEN!$G$9:$G$28,MATCH(N19,FORDERUNGEN!$A$9:$A$28,0)))</x:f>
      </x:c>
    </x:row>
    <x:row r="20" ht="21" customHeight="1">
      <x:c r="M20" t="n">
        <x:v>12</x:v>
      </x:c>
      <x:c r="N20" t="str">
        <x:f>IFERROR(INDEX(FORDERUNGEN!$A$9:$A$28,MATCH(M20,FORDERUNGEN!$M$9:$M$28,0)),"")</x:f>
      </x:c>
      <x:c r="O20" t="str">
        <x:f>IF(N20="","",INDEX(FORDERUNGEN!$B$9:$B$28,MATCH(N20,FORDERUNGEN!$A$9:$A$28,0)))</x:f>
      </x:c>
      <x:c r="P20" s="86" t="str">
        <x:f>IF(N20="","",INDEX(FORDERUNGEN!$F$9:$F$28,MATCH(N20,FORDERUNGEN!$A$9:$A$28,0)))</x:f>
      </x:c>
      <x:c r="Q20" s="88" t="str">
        <x:f>IF(N20="","",INDEX(FORDERUNGEN!$G$9:$G$28,MATCH(N20,FORDERUNGEN!$A$9:$A$28,0)))</x:f>
      </x:c>
    </x:row>
    <x:row r="21" ht="21" customHeight="1">
      <x:c r="M21" t="n">
        <x:v>13</x:v>
      </x:c>
      <x:c r="N21" t="str">
        <x:f>IFERROR(INDEX(FORDERUNGEN!$A$9:$A$28,MATCH(M21,FORDERUNGEN!$M$9:$M$28,0)),"")</x:f>
      </x:c>
      <x:c r="O21" t="str">
        <x:f>IF(N21="","",INDEX(FORDERUNGEN!$B$9:$B$28,MATCH(N21,FORDERUNGEN!$A$9:$A$28,0)))</x:f>
      </x:c>
      <x:c r="P21" s="86" t="str">
        <x:f>IF(N21="","",INDEX(FORDERUNGEN!$F$9:$F$28,MATCH(N21,FORDERUNGEN!$A$9:$A$28,0)))</x:f>
      </x:c>
      <x:c r="Q21" s="88" t="str">
        <x:f>IF(N21="","",INDEX(FORDERUNGEN!$G$9:$G$28,MATCH(N21,FORDERUNGEN!$A$9:$A$28,0)))</x:f>
      </x:c>
    </x:row>
    <x:row r="22" ht="21" customHeight="1">
      <x:c r="M22" t="n">
        <x:v>14</x:v>
      </x:c>
      <x:c r="N22" t="str">
        <x:f>IFERROR(INDEX(FORDERUNGEN!$A$9:$A$28,MATCH(M22,FORDERUNGEN!$M$9:$M$28,0)),"")</x:f>
      </x:c>
      <x:c r="O22" t="str">
        <x:f>IF(N22="","",INDEX(FORDERUNGEN!$B$9:$B$28,MATCH(N22,FORDERUNGEN!$A$9:$A$28,0)))</x:f>
      </x:c>
      <x:c r="P22" s="86" t="str">
        <x:f>IF(N22="","",INDEX(FORDERUNGEN!$F$9:$F$28,MATCH(N22,FORDERUNGEN!$A$9:$A$28,0)))</x:f>
      </x:c>
      <x:c r="Q22" s="88" t="str">
        <x:f>IF(N22="","",INDEX(FORDERUNGEN!$G$9:$G$28,MATCH(N22,FORDERUNGEN!$A$9:$A$28,0)))</x:f>
      </x:c>
    </x:row>
    <x:row r="23" ht="21" customHeight="1">
      <x:c r="M23" t="n">
        <x:v>15</x:v>
      </x:c>
      <x:c r="N23" t="str">
        <x:f>IFERROR(INDEX(FORDERUNGEN!$A$9:$A$28,MATCH(M23,FORDERUNGEN!$M$9:$M$28,0)),"")</x:f>
      </x:c>
      <x:c r="O23" t="str">
        <x:f>IF(N23="","",INDEX(FORDERUNGEN!$B$9:$B$28,MATCH(N23,FORDERUNGEN!$A$9:$A$28,0)))</x:f>
      </x:c>
      <x:c r="P23" s="86" t="str">
        <x:f>IF(N23="","",INDEX(FORDERUNGEN!$F$9:$F$28,MATCH(N23,FORDERUNGEN!$A$9:$A$28,0)))</x:f>
      </x:c>
      <x:c r="Q23" s="88" t="str">
        <x:f>IF(N23="","",INDEX(FORDERUNGEN!$G$9:$G$28,MATCH(N23,FORDERUNGEN!$A$9:$A$28,0)))</x:f>
      </x:c>
    </x:row>
    <x:row r="24" ht="21" customHeight="1">
      <x:c r="M24" t="n">
        <x:v>16</x:v>
      </x:c>
      <x:c r="N24" t="str">
        <x:f>IFERROR(INDEX(FORDERUNGEN!$A$9:$A$28,MATCH(M24,FORDERUNGEN!$M$9:$M$28,0)),"")</x:f>
      </x:c>
      <x:c r="O24" t="str">
        <x:f>IF(N24="","",INDEX(FORDERUNGEN!$B$9:$B$28,MATCH(N24,FORDERUNGEN!$A$9:$A$28,0)))</x:f>
      </x:c>
      <x:c r="P24" s="86" t="str">
        <x:f>IF(N24="","",INDEX(FORDERUNGEN!$F$9:$F$28,MATCH(N24,FORDERUNGEN!$A$9:$A$28,0)))</x:f>
      </x:c>
      <x:c r="Q24" s="88" t="str">
        <x:f>IF(N24="","",INDEX(FORDERUNGEN!$G$9:$G$28,MATCH(N24,FORDERUNGEN!$A$9:$A$28,0)))</x:f>
      </x:c>
    </x:row>
    <x:row r="25" ht="21" customHeight="1">
      <x:c r="M25" t="n">
        <x:v>17</x:v>
      </x:c>
      <x:c r="N25" t="str">
        <x:f>IFERROR(INDEX(FORDERUNGEN!$A$9:$A$28,MATCH(M25,FORDERUNGEN!$M$9:$M$28,0)),"")</x:f>
      </x:c>
      <x:c r="O25" t="str">
        <x:f>IF(N25="","",INDEX(FORDERUNGEN!$B$9:$B$28,MATCH(N25,FORDERUNGEN!$A$9:$A$28,0)))</x:f>
      </x:c>
      <x:c r="P25" s="86" t="str">
        <x:f>IF(N25="","",INDEX(FORDERUNGEN!$F$9:$F$28,MATCH(N25,FORDERUNGEN!$A$9:$A$28,0)))</x:f>
      </x:c>
      <x:c r="Q25" s="88" t="str">
        <x:f>IF(N25="","",INDEX(FORDERUNGEN!$G$9:$G$28,MATCH(N25,FORDERUNGEN!$A$9:$A$28,0)))</x:f>
      </x:c>
    </x:row>
    <x:row r="26" ht="21" customHeight="1">
      <x:c r="M26" t="n">
        <x:v>18</x:v>
      </x:c>
      <x:c r="N26" t="str">
        <x:f>IFERROR(INDEX(FORDERUNGEN!$A$9:$A$28,MATCH(M26,FORDERUNGEN!$M$9:$M$28,0)),"")</x:f>
      </x:c>
      <x:c r="O26" t="str">
        <x:f>IF(N26="","",INDEX(FORDERUNGEN!$B$9:$B$28,MATCH(N26,FORDERUNGEN!$A$9:$A$28,0)))</x:f>
      </x:c>
      <x:c r="P26" s="86" t="str">
        <x:f>IF(N26="","",INDEX(FORDERUNGEN!$F$9:$F$28,MATCH(N26,FORDERUNGEN!$A$9:$A$28,0)))</x:f>
      </x:c>
      <x:c r="Q26" s="88" t="str">
        <x:f>IF(N26="","",INDEX(FORDERUNGEN!$G$9:$G$28,MATCH(N26,FORDERUNGEN!$A$9:$A$28,0)))</x:f>
      </x:c>
    </x:row>
    <x:row r="27" ht="21" customHeight="1">
      <x:c r="M27" t="n">
        <x:v>19</x:v>
      </x:c>
      <x:c r="N27" t="str">
        <x:f>IFERROR(INDEX(FORDERUNGEN!$A$9:$A$28,MATCH(M27,FORDERUNGEN!$M$9:$M$28,0)),"")</x:f>
      </x:c>
      <x:c r="O27" t="str">
        <x:f>IF(N27="","",INDEX(FORDERUNGEN!$B$9:$B$28,MATCH(N27,FORDERUNGEN!$A$9:$A$28,0)))</x:f>
      </x:c>
      <x:c r="P27" s="86" t="str">
        <x:f>IF(N27="","",INDEX(FORDERUNGEN!$F$9:$F$28,MATCH(N27,FORDERUNGEN!$A$9:$A$28,0)))</x:f>
      </x:c>
      <x:c r="Q27" s="88" t="str">
        <x:f>IF(N27="","",INDEX(FORDERUNGEN!$G$9:$G$28,MATCH(N27,FORDERUNGEN!$A$9:$A$28,0)))</x:f>
      </x:c>
    </x:row>
    <x:row r="28" ht="21" customHeight="1">
      <x:c r="M28" t="n">
        <x:v>20</x:v>
      </x:c>
      <x:c r="N28" t="str">
        <x:f>IFERROR(INDEX(FORDERUNGEN!$A$9:$A$28,MATCH(M28,FORDERUNGEN!$M$9:$M$28,0)),"")</x:f>
      </x:c>
      <x:c r="O28" t="str">
        <x:f>IF(N28="","",INDEX(FORDERUNGEN!$B$9:$B$28,MATCH(N28,FORDERUNGEN!$A$9:$A$28,0)))</x:f>
      </x:c>
      <x:c r="P28" s="86" t="str">
        <x:f>IF(N28="","",INDEX(FORDERUNGEN!$F$9:$F$28,MATCH(N28,FORDERUNGEN!$A$9:$A$28,0)))</x:f>
      </x:c>
      <x:c r="Q28" s="88" t="str">
        <x:f>IF(N28="","",INDEX(FORDERUNGEN!$G$9:$G$28,MATCH(N28,FORDERUNGEN!$A$9:$A$28,0)))</x:f>
      </x:c>
    </x:row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  <x:row r="36" ht="29" customHeight="1">
      <x:c r="A36" s="21" t="str">
        <x:v>RECHENBLATT  ·  Monat 1 beginnt in Zeile 40. Dateneingaben bitte ausschließlich in den blauen Blättern vornehmen.</x:v>
      </x:c>
      <x:c r="B36" s="21"/>
      <x:c r="C36" s="21"/>
      <x:c r="D36" s="21"/>
      <x:c r="E36" s="21"/>
      <x:c r="F36" s="21"/>
      <x:c r="G36" s="21"/>
      <x:c r="H36" s="21"/>
      <x:c r="I36" s="21"/>
      <x:c r="J36" s="21"/>
      <x:c r="K36" s="21"/>
    </x:row>
    <x:row r="37" ht="21" customHeight="1"/>
    <x:row r="38" ht="21" customHeight="1"/>
    <x:row r="39" ht="39" customHeight="1">
      <x:c r="A39" s="83" t="str">
        <x:v>Monat</x:v>
      </x:c>
      <x:c r="B39" s="83" t="str">
        <x:v>Rang</x:v>
      </x:c>
      <x:c r="C39" s="83" t="str">
        <x:v>Gläubiger-ID</x:v>
      </x:c>
      <x:c r="D39" s="83" t="str">
        <x:v>Anfang (€)</x:v>
      </x:c>
      <x:c r="E39" s="83" t="str">
        <x:v>Zinsen (€)</x:v>
      </x:c>
      <x:c r="F39" s="83" t="str">
        <x:v>Mindestrate (€)</x:v>
      </x:c>
      <x:c r="G39" s="83" t="str">
        <x:v>Sonder (€)</x:v>
      </x:c>
      <x:c r="H39" s="83" t="str">
        <x:v>Extra (€)</x:v>
      </x:c>
      <x:c r="I39" s="83" t="str">
        <x:v>Rest (€)</x:v>
      </x:c>
      <x:c r="J39" s="83" t="str">
        <x:v>Gesamt gezahlt (€)</x:v>
      </x:c>
      <x:c r="K39" s="83" t="str">
        <x:v>Sonder ungenutzt (€)</x:v>
      </x:c>
    </x:row>
    <x:row r="40" ht="19" customHeight="1">
      <x:c r="A40" s="90" t="n">
        <x:f>MONATSBUDGET!$A$9</x:f>
        <x:v>46266</x:v>
      </x:c>
      <x:c r="B40" t="n">
        <x:f>1</x:f>
        <x:v>1</x:v>
      </x:c>
      <x:c r="C40" t="str">
        <x:f>IF($N$9="","",$N$9)</x:f>
      </x:c>
      <x:c r="D40" s="88" t="str">
        <x:f>IF(C40="","",INDEX(FORDERUNGEN!$E$9:$E$28,MATCH(C40,FORDERUNGEN!$A$9:$A$28,0)))</x:f>
      </x:c>
      <x:c r="E40" s="88" t="str">
        <x:f>IF(C40="","",ROUND(D40*$P$9/12,2))</x:f>
      </x:c>
      <x:c r="F40" s="88" t="str">
        <x:f>IF(C40="","",MIN(D40+E40,$Q$9))</x:f>
      </x:c>
      <x:c r="G40" s="88" t="str">
        <x:f>IF(C40="","",MIN(MAX(0,D40+E40-F40),SUMIFS(SONDERZAHLUNGEN!$E$9:$E$128,SONDERZAHLUNGEN!$B$9:$B$128,C40,SONDERZAHLUNGEN!$C$9:$C$128,A40,SONDERZAHLUNGEN!$H$9:$H$128,"OK",SONDERZAHLUNGEN!$F$9:$F$128,"Ja")))</x:f>
      </x:c>
      <x:c r="H40" s="88" t="str">
        <x:f>IF(C40="","",MIN(MAX(0,D40+E40-F40-G40),MAX(0,IF(MONATSBUDGET!$C$9="",0,MONATSBUDGET!$C$9)-SUM(F40:F59)-0)))</x:f>
      </x:c>
      <x:c r="I40" s="88" t="str">
        <x:f>IF(C40="","",MAX(0,ROUND(D40+E40-F40-G40-H40,2)))</x:f>
      </x:c>
      <x:c r="J40" s="88" t="str">
        <x:f>IF(C40="","",F40+G40+H40)</x:f>
      </x:c>
      <x:c r="K40" s="88" t="str">
        <x:f>IF(C40="","",MAX(0,SUMIFS(SONDERZAHLUNGEN!$E$9:$E$128,SONDERZAHLUNGEN!$B$9:$B$128,C40,SONDERZAHLUNGEN!$C$9:$C$128,A40,SONDERZAHLUNGEN!$H$9:$H$128,"OK",SONDERZAHLUNGEN!$F$9:$F$128,"Ja")-G40))</x:f>
      </x:c>
    </x:row>
    <x:row r="41" ht="19" customHeight="1">
      <x:c r="A41" s="90" t="n">
        <x:f>MONATSBUDGET!$A$9</x:f>
        <x:v>46266</x:v>
      </x:c>
      <x:c r="B41" t="n">
        <x:f>2</x:f>
        <x:v>2</x:v>
      </x:c>
      <x:c r="C41" t="str">
        <x:f>IF($N$10="","",$N$10)</x:f>
      </x:c>
      <x:c r="D41" s="88" t="str">
        <x:f>IF(C41="","",INDEX(FORDERUNGEN!$E$9:$E$28,MATCH(C41,FORDERUNGEN!$A$9:$A$28,0)))</x:f>
      </x:c>
      <x:c r="E41" s="88" t="str">
        <x:f>IF(C41="","",ROUND(D41*$P$10/12,2))</x:f>
      </x:c>
      <x:c r="F41" s="88" t="str">
        <x:f>IF(C41="","",MIN(D41+E41,$Q$10))</x:f>
      </x:c>
      <x:c r="G41" s="88" t="str">
        <x:f>IF(C41="","",MIN(MAX(0,D41+E41-F41),SUMIFS(SONDERZAHLUNGEN!$E$9:$E$128,SONDERZAHLUNGEN!$B$9:$B$128,C41,SONDERZAHLUNGEN!$C$9:$C$128,A41,SONDERZAHLUNGEN!$H$9:$H$128,"OK",SONDERZAHLUNGEN!$F$9:$F$128,"Ja")))</x:f>
      </x:c>
      <x:c r="H41" s="88" t="str">
        <x:f>IF(C41="","",MIN(MAX(0,D41+E41-F41-G41),MAX(0,IF(MONATSBUDGET!$C$9="",0,MONATSBUDGET!$C$9)-SUM(F40:F59)-SUM(H40:H40))))</x:f>
      </x:c>
      <x:c r="I41" s="88" t="str">
        <x:f>IF(C41="","",MAX(0,ROUND(D41+E41-F41-G41-H41,2)))</x:f>
      </x:c>
      <x:c r="J41" s="88" t="str">
        <x:f>IF(C41="","",F41+G41+H41)</x:f>
      </x:c>
      <x:c r="K41" s="88" t="str">
        <x:f>IF(C41="","",MAX(0,SUMIFS(SONDERZAHLUNGEN!$E$9:$E$128,SONDERZAHLUNGEN!$B$9:$B$128,C41,SONDERZAHLUNGEN!$C$9:$C$128,A41,SONDERZAHLUNGEN!$H$9:$H$128,"OK",SONDERZAHLUNGEN!$F$9:$F$128,"Ja")-G41))</x:f>
      </x:c>
    </x:row>
    <x:row r="42" ht="19" customHeight="1">
      <x:c r="A42" s="90" t="n">
        <x:f>MONATSBUDGET!$A$9</x:f>
        <x:v>46266</x:v>
      </x:c>
      <x:c r="B42" t="n">
        <x:f>3</x:f>
        <x:v>3</x:v>
      </x:c>
      <x:c r="C42" t="str">
        <x:f>IF($N$11="","",$N$11)</x:f>
      </x:c>
      <x:c r="D42" s="88" t="str">
        <x:f>IF(C42="","",INDEX(FORDERUNGEN!$E$9:$E$28,MATCH(C42,FORDERUNGEN!$A$9:$A$28,0)))</x:f>
      </x:c>
      <x:c r="E42" s="88" t="str">
        <x:f>IF(C42="","",ROUND(D42*$P$11/12,2))</x:f>
      </x:c>
      <x:c r="F42" s="88" t="str">
        <x:f>IF(C42="","",MIN(D42+E42,$Q$11))</x:f>
      </x:c>
      <x:c r="G42" s="88" t="str">
        <x:f>IF(C42="","",MIN(MAX(0,D42+E42-F42),SUMIFS(SONDERZAHLUNGEN!$E$9:$E$128,SONDERZAHLUNGEN!$B$9:$B$128,C42,SONDERZAHLUNGEN!$C$9:$C$128,A42,SONDERZAHLUNGEN!$H$9:$H$128,"OK",SONDERZAHLUNGEN!$F$9:$F$128,"Ja")))</x:f>
      </x:c>
      <x:c r="H42" s="88" t="str">
        <x:f>IF(C42="","",MIN(MAX(0,D42+E42-F42-G42),MAX(0,IF(MONATSBUDGET!$C$9="",0,MONATSBUDGET!$C$9)-SUM(F40:F59)-SUM(H40:H41))))</x:f>
      </x:c>
      <x:c r="I42" s="88" t="str">
        <x:f>IF(C42="","",MAX(0,ROUND(D42+E42-F42-G42-H42,2)))</x:f>
      </x:c>
      <x:c r="J42" s="88" t="str">
        <x:f>IF(C42="","",F42+G42+H42)</x:f>
      </x:c>
      <x:c r="K42" s="88" t="str">
        <x:f>IF(C42="","",MAX(0,SUMIFS(SONDERZAHLUNGEN!$E$9:$E$128,SONDERZAHLUNGEN!$B$9:$B$128,C42,SONDERZAHLUNGEN!$C$9:$C$128,A42,SONDERZAHLUNGEN!$H$9:$H$128,"OK",SONDERZAHLUNGEN!$F$9:$F$128,"Ja")-G42))</x:f>
      </x:c>
    </x:row>
    <x:row r="43" ht="19" customHeight="1">
      <x:c r="A43" s="90" t="n">
        <x:f>MONATSBUDGET!$A$9</x:f>
        <x:v>46266</x:v>
      </x:c>
      <x:c r="B43" t="n">
        <x:f>4</x:f>
        <x:v>4</x:v>
      </x:c>
      <x:c r="C43" t="str">
        <x:f>IF($N$12="","",$N$12)</x:f>
      </x:c>
      <x:c r="D43" s="88" t="str">
        <x:f>IF(C43="","",INDEX(FORDERUNGEN!$E$9:$E$28,MATCH(C43,FORDERUNGEN!$A$9:$A$28,0)))</x:f>
      </x:c>
      <x:c r="E43" s="88" t="str">
        <x:f>IF(C43="","",ROUND(D43*$P$12/12,2))</x:f>
      </x:c>
      <x:c r="F43" s="88" t="str">
        <x:f>IF(C43="","",MIN(D43+E43,$Q$12))</x:f>
      </x:c>
      <x:c r="G43" s="88" t="str">
        <x:f>IF(C43="","",MIN(MAX(0,D43+E43-F43),SUMIFS(SONDERZAHLUNGEN!$E$9:$E$128,SONDERZAHLUNGEN!$B$9:$B$128,C43,SONDERZAHLUNGEN!$C$9:$C$128,A43,SONDERZAHLUNGEN!$H$9:$H$128,"OK",SONDERZAHLUNGEN!$F$9:$F$128,"Ja")))</x:f>
      </x:c>
      <x:c r="H43" s="88" t="str">
        <x:f>IF(C43="","",MIN(MAX(0,D43+E43-F43-G43),MAX(0,IF(MONATSBUDGET!$C$9="",0,MONATSBUDGET!$C$9)-SUM(F40:F59)-SUM(H40:H42))))</x:f>
      </x:c>
      <x:c r="I43" s="88" t="str">
        <x:f>IF(C43="","",MAX(0,ROUND(D43+E43-F43-G43-H43,2)))</x:f>
      </x:c>
      <x:c r="J43" s="88" t="str">
        <x:f>IF(C43="","",F43+G43+H43)</x:f>
      </x:c>
      <x:c r="K43" s="88" t="str">
        <x:f>IF(C43="","",MAX(0,SUMIFS(SONDERZAHLUNGEN!$E$9:$E$128,SONDERZAHLUNGEN!$B$9:$B$128,C43,SONDERZAHLUNGEN!$C$9:$C$128,A43,SONDERZAHLUNGEN!$H$9:$H$128,"OK",SONDERZAHLUNGEN!$F$9:$F$128,"Ja")-G43))</x:f>
      </x:c>
    </x:row>
    <x:row r="44" ht="19" customHeight="1">
      <x:c r="A44" s="90" t="n">
        <x:f>MONATSBUDGET!$A$9</x:f>
        <x:v>46266</x:v>
      </x:c>
      <x:c r="B44" t="n">
        <x:f>5</x:f>
        <x:v>5</x:v>
      </x:c>
      <x:c r="C44" t="str">
        <x:f>IF($N$13="","",$N$13)</x:f>
      </x:c>
      <x:c r="D44" s="88" t="str">
        <x:f>IF(C44="","",INDEX(FORDERUNGEN!$E$9:$E$28,MATCH(C44,FORDERUNGEN!$A$9:$A$28,0)))</x:f>
      </x:c>
      <x:c r="E44" s="88" t="str">
        <x:f>IF(C44="","",ROUND(D44*$P$13/12,2))</x:f>
      </x:c>
      <x:c r="F44" s="88" t="str">
        <x:f>IF(C44="","",MIN(D44+E44,$Q$13))</x:f>
      </x:c>
      <x:c r="G44" s="88" t="str">
        <x:f>IF(C44="","",MIN(MAX(0,D44+E44-F44),SUMIFS(SONDERZAHLUNGEN!$E$9:$E$128,SONDERZAHLUNGEN!$B$9:$B$128,C44,SONDERZAHLUNGEN!$C$9:$C$128,A44,SONDERZAHLUNGEN!$H$9:$H$128,"OK",SONDERZAHLUNGEN!$F$9:$F$128,"Ja")))</x:f>
      </x:c>
      <x:c r="H44" s="88" t="str">
        <x:f>IF(C44="","",MIN(MAX(0,D44+E44-F44-G44),MAX(0,IF(MONATSBUDGET!$C$9="",0,MONATSBUDGET!$C$9)-SUM(F40:F59)-SUM(H40:H43))))</x:f>
      </x:c>
      <x:c r="I44" s="88" t="str">
        <x:f>IF(C44="","",MAX(0,ROUND(D44+E44-F44-G44-H44,2)))</x:f>
      </x:c>
      <x:c r="J44" s="88" t="str">
        <x:f>IF(C44="","",F44+G44+H44)</x:f>
      </x:c>
      <x:c r="K44" s="88" t="str">
        <x:f>IF(C44="","",MAX(0,SUMIFS(SONDERZAHLUNGEN!$E$9:$E$128,SONDERZAHLUNGEN!$B$9:$B$128,C44,SONDERZAHLUNGEN!$C$9:$C$128,A44,SONDERZAHLUNGEN!$H$9:$H$128,"OK",SONDERZAHLUNGEN!$F$9:$F$128,"Ja")-G44))</x:f>
      </x:c>
    </x:row>
    <x:row r="45" ht="19" customHeight="1">
      <x:c r="A45" s="90" t="n">
        <x:f>MONATSBUDGET!$A$9</x:f>
        <x:v>46266</x:v>
      </x:c>
      <x:c r="B45" t="n">
        <x:f>6</x:f>
        <x:v>6</x:v>
      </x:c>
      <x:c r="C45" t="str">
        <x:f>IF($N$14="","",$N$14)</x:f>
      </x:c>
      <x:c r="D45" s="88" t="str">
        <x:f>IF(C45="","",INDEX(FORDERUNGEN!$E$9:$E$28,MATCH(C45,FORDERUNGEN!$A$9:$A$28,0)))</x:f>
      </x:c>
      <x:c r="E45" s="88" t="str">
        <x:f>IF(C45="","",ROUND(D45*$P$14/12,2))</x:f>
      </x:c>
      <x:c r="F45" s="88" t="str">
        <x:f>IF(C45="","",MIN(D45+E45,$Q$14))</x:f>
      </x:c>
      <x:c r="G45" s="88" t="str">
        <x:f>IF(C45="","",MIN(MAX(0,D45+E45-F45),SUMIFS(SONDERZAHLUNGEN!$E$9:$E$128,SONDERZAHLUNGEN!$B$9:$B$128,C45,SONDERZAHLUNGEN!$C$9:$C$128,A45,SONDERZAHLUNGEN!$H$9:$H$128,"OK",SONDERZAHLUNGEN!$F$9:$F$128,"Ja")))</x:f>
      </x:c>
      <x:c r="H45" s="88" t="str">
        <x:f>IF(C45="","",MIN(MAX(0,D45+E45-F45-G45),MAX(0,IF(MONATSBUDGET!$C$9="",0,MONATSBUDGET!$C$9)-SUM(F40:F59)-SUM(H40:H44))))</x:f>
      </x:c>
      <x:c r="I45" s="88" t="str">
        <x:f>IF(C45="","",MAX(0,ROUND(D45+E45-F45-G45-H45,2)))</x:f>
      </x:c>
      <x:c r="J45" s="88" t="str">
        <x:f>IF(C45="","",F45+G45+H45)</x:f>
      </x:c>
      <x:c r="K45" s="88" t="str">
        <x:f>IF(C45="","",MAX(0,SUMIFS(SONDERZAHLUNGEN!$E$9:$E$128,SONDERZAHLUNGEN!$B$9:$B$128,C45,SONDERZAHLUNGEN!$C$9:$C$128,A45,SONDERZAHLUNGEN!$H$9:$H$128,"OK",SONDERZAHLUNGEN!$F$9:$F$128,"Ja")-G45))</x:f>
      </x:c>
    </x:row>
    <x:row r="46" ht="19" customHeight="1">
      <x:c r="A46" s="90" t="n">
        <x:f>MONATSBUDGET!$A$9</x:f>
        <x:v>46266</x:v>
      </x:c>
      <x:c r="B46" t="n">
        <x:f>7</x:f>
        <x:v>7</x:v>
      </x:c>
      <x:c r="C46" t="str">
        <x:f>IF($N$15="","",$N$15)</x:f>
      </x:c>
      <x:c r="D46" s="88" t="str">
        <x:f>IF(C46="","",INDEX(FORDERUNGEN!$E$9:$E$28,MATCH(C46,FORDERUNGEN!$A$9:$A$28,0)))</x:f>
      </x:c>
      <x:c r="E46" s="88" t="str">
        <x:f>IF(C46="","",ROUND(D46*$P$15/12,2))</x:f>
      </x:c>
      <x:c r="F46" s="88" t="str">
        <x:f>IF(C46="","",MIN(D46+E46,$Q$15))</x:f>
      </x:c>
      <x:c r="G46" s="88" t="str">
        <x:f>IF(C46="","",MIN(MAX(0,D46+E46-F46),SUMIFS(SONDERZAHLUNGEN!$E$9:$E$128,SONDERZAHLUNGEN!$B$9:$B$128,C46,SONDERZAHLUNGEN!$C$9:$C$128,A46,SONDERZAHLUNGEN!$H$9:$H$128,"OK",SONDERZAHLUNGEN!$F$9:$F$128,"Ja")))</x:f>
      </x:c>
      <x:c r="H46" s="88" t="str">
        <x:f>IF(C46="","",MIN(MAX(0,D46+E46-F46-G46),MAX(0,IF(MONATSBUDGET!$C$9="",0,MONATSBUDGET!$C$9)-SUM(F40:F59)-SUM(H40:H45))))</x:f>
      </x:c>
      <x:c r="I46" s="88" t="str">
        <x:f>IF(C46="","",MAX(0,ROUND(D46+E46-F46-G46-H46,2)))</x:f>
      </x:c>
      <x:c r="J46" s="88" t="str">
        <x:f>IF(C46="","",F46+G46+H46)</x:f>
      </x:c>
      <x:c r="K46" s="88" t="str">
        <x:f>IF(C46="","",MAX(0,SUMIFS(SONDERZAHLUNGEN!$E$9:$E$128,SONDERZAHLUNGEN!$B$9:$B$128,C46,SONDERZAHLUNGEN!$C$9:$C$128,A46,SONDERZAHLUNGEN!$H$9:$H$128,"OK",SONDERZAHLUNGEN!$F$9:$F$128,"Ja")-G46))</x:f>
      </x:c>
    </x:row>
    <x:row r="47" ht="19" customHeight="1">
      <x:c r="A47" s="90" t="n">
        <x:f>MONATSBUDGET!$A$9</x:f>
        <x:v>46266</x:v>
      </x:c>
      <x:c r="B47" t="n">
        <x:f>8</x:f>
        <x:v>8</x:v>
      </x:c>
      <x:c r="C47" t="str">
        <x:f>IF($N$16="","",$N$16)</x:f>
      </x:c>
      <x:c r="D47" s="88" t="str">
        <x:f>IF(C47="","",INDEX(FORDERUNGEN!$E$9:$E$28,MATCH(C47,FORDERUNGEN!$A$9:$A$28,0)))</x:f>
      </x:c>
      <x:c r="E47" s="88" t="str">
        <x:f>IF(C47="","",ROUND(D47*$P$16/12,2))</x:f>
      </x:c>
      <x:c r="F47" s="88" t="str">
        <x:f>IF(C47="","",MIN(D47+E47,$Q$16))</x:f>
      </x:c>
      <x:c r="G47" s="88" t="str">
        <x:f>IF(C47="","",MIN(MAX(0,D47+E47-F47),SUMIFS(SONDERZAHLUNGEN!$E$9:$E$128,SONDERZAHLUNGEN!$B$9:$B$128,C47,SONDERZAHLUNGEN!$C$9:$C$128,A47,SONDERZAHLUNGEN!$H$9:$H$128,"OK",SONDERZAHLUNGEN!$F$9:$F$128,"Ja")))</x:f>
      </x:c>
      <x:c r="H47" s="88" t="str">
        <x:f>IF(C47="","",MIN(MAX(0,D47+E47-F47-G47),MAX(0,IF(MONATSBUDGET!$C$9="",0,MONATSBUDGET!$C$9)-SUM(F40:F59)-SUM(H40:H46))))</x:f>
      </x:c>
      <x:c r="I47" s="88" t="str">
        <x:f>IF(C47="","",MAX(0,ROUND(D47+E47-F47-G47-H47,2)))</x:f>
      </x:c>
      <x:c r="J47" s="88" t="str">
        <x:f>IF(C47="","",F47+G47+H47)</x:f>
      </x:c>
      <x:c r="K47" s="88" t="str">
        <x:f>IF(C47="","",MAX(0,SUMIFS(SONDERZAHLUNGEN!$E$9:$E$128,SONDERZAHLUNGEN!$B$9:$B$128,C47,SONDERZAHLUNGEN!$C$9:$C$128,A47,SONDERZAHLUNGEN!$H$9:$H$128,"OK",SONDERZAHLUNGEN!$F$9:$F$128,"Ja")-G47))</x:f>
      </x:c>
    </x:row>
    <x:row r="48" ht="19" customHeight="1">
      <x:c r="A48" s="90" t="n">
        <x:f>MONATSBUDGET!$A$9</x:f>
        <x:v>46266</x:v>
      </x:c>
      <x:c r="B48" t="n">
        <x:f>9</x:f>
        <x:v>9</x:v>
      </x:c>
      <x:c r="C48" t="str">
        <x:f>IF($N$17="","",$N$17)</x:f>
      </x:c>
      <x:c r="D48" s="88" t="str">
        <x:f>IF(C48="","",INDEX(FORDERUNGEN!$E$9:$E$28,MATCH(C48,FORDERUNGEN!$A$9:$A$28,0)))</x:f>
      </x:c>
      <x:c r="E48" s="88" t="str">
        <x:f>IF(C48="","",ROUND(D48*$P$17/12,2))</x:f>
      </x:c>
      <x:c r="F48" s="88" t="str">
        <x:f>IF(C48="","",MIN(D48+E48,$Q$17))</x:f>
      </x:c>
      <x:c r="G48" s="88" t="str">
        <x:f>IF(C48="","",MIN(MAX(0,D48+E48-F48),SUMIFS(SONDERZAHLUNGEN!$E$9:$E$128,SONDERZAHLUNGEN!$B$9:$B$128,C48,SONDERZAHLUNGEN!$C$9:$C$128,A48,SONDERZAHLUNGEN!$H$9:$H$128,"OK",SONDERZAHLUNGEN!$F$9:$F$128,"Ja")))</x:f>
      </x:c>
      <x:c r="H48" s="88" t="str">
        <x:f>IF(C48="","",MIN(MAX(0,D48+E48-F48-G48),MAX(0,IF(MONATSBUDGET!$C$9="",0,MONATSBUDGET!$C$9)-SUM(F40:F59)-SUM(H40:H47))))</x:f>
      </x:c>
      <x:c r="I48" s="88" t="str">
        <x:f>IF(C48="","",MAX(0,ROUND(D48+E48-F48-G48-H48,2)))</x:f>
      </x:c>
      <x:c r="J48" s="88" t="str">
        <x:f>IF(C48="","",F48+G48+H48)</x:f>
      </x:c>
      <x:c r="K48" s="88" t="str">
        <x:f>IF(C48="","",MAX(0,SUMIFS(SONDERZAHLUNGEN!$E$9:$E$128,SONDERZAHLUNGEN!$B$9:$B$128,C48,SONDERZAHLUNGEN!$C$9:$C$128,A48,SONDERZAHLUNGEN!$H$9:$H$128,"OK",SONDERZAHLUNGEN!$F$9:$F$128,"Ja")-G48))</x:f>
      </x:c>
    </x:row>
    <x:row r="49" ht="19" customHeight="1">
      <x:c r="A49" s="90" t="n">
        <x:f>MONATSBUDGET!$A$9</x:f>
        <x:v>46266</x:v>
      </x:c>
      <x:c r="B49" t="n">
        <x:f>10</x:f>
        <x:v>10</x:v>
      </x:c>
      <x:c r="C49" t="str">
        <x:f>IF($N$18="","",$N$18)</x:f>
      </x:c>
      <x:c r="D49" s="88" t="str">
        <x:f>IF(C49="","",INDEX(FORDERUNGEN!$E$9:$E$28,MATCH(C49,FORDERUNGEN!$A$9:$A$28,0)))</x:f>
      </x:c>
      <x:c r="E49" s="88" t="str">
        <x:f>IF(C49="","",ROUND(D49*$P$18/12,2))</x:f>
      </x:c>
      <x:c r="F49" s="88" t="str">
        <x:f>IF(C49="","",MIN(D49+E49,$Q$18))</x:f>
      </x:c>
      <x:c r="G49" s="88" t="str">
        <x:f>IF(C49="","",MIN(MAX(0,D49+E49-F49),SUMIFS(SONDERZAHLUNGEN!$E$9:$E$128,SONDERZAHLUNGEN!$B$9:$B$128,C49,SONDERZAHLUNGEN!$C$9:$C$128,A49,SONDERZAHLUNGEN!$H$9:$H$128,"OK",SONDERZAHLUNGEN!$F$9:$F$128,"Ja")))</x:f>
      </x:c>
      <x:c r="H49" s="88" t="str">
        <x:f>IF(C49="","",MIN(MAX(0,D49+E49-F49-G49),MAX(0,IF(MONATSBUDGET!$C$9="",0,MONATSBUDGET!$C$9)-SUM(F40:F59)-SUM(H40:H48))))</x:f>
      </x:c>
      <x:c r="I49" s="88" t="str">
        <x:f>IF(C49="","",MAX(0,ROUND(D49+E49-F49-G49-H49,2)))</x:f>
      </x:c>
      <x:c r="J49" s="88" t="str">
        <x:f>IF(C49="","",F49+G49+H49)</x:f>
      </x:c>
      <x:c r="K49" s="88" t="str">
        <x:f>IF(C49="","",MAX(0,SUMIFS(SONDERZAHLUNGEN!$E$9:$E$128,SONDERZAHLUNGEN!$B$9:$B$128,C49,SONDERZAHLUNGEN!$C$9:$C$128,A49,SONDERZAHLUNGEN!$H$9:$H$128,"OK",SONDERZAHLUNGEN!$F$9:$F$128,"Ja")-G49))</x:f>
      </x:c>
    </x:row>
    <x:row r="50" ht="19" customHeight="1">
      <x:c r="A50" s="90" t="n">
        <x:f>MONATSBUDGET!$A$9</x:f>
        <x:v>46266</x:v>
      </x:c>
      <x:c r="B50" t="n">
        <x:f>11</x:f>
        <x:v>11</x:v>
      </x:c>
      <x:c r="C50" t="str">
        <x:f>IF($N$19="","",$N$19)</x:f>
      </x:c>
      <x:c r="D50" s="88" t="str">
        <x:f>IF(C50="","",INDEX(FORDERUNGEN!$E$9:$E$28,MATCH(C50,FORDERUNGEN!$A$9:$A$28,0)))</x:f>
      </x:c>
      <x:c r="E50" s="88" t="str">
        <x:f>IF(C50="","",ROUND(D50*$P$19/12,2))</x:f>
      </x:c>
      <x:c r="F50" s="88" t="str">
        <x:f>IF(C50="","",MIN(D50+E50,$Q$19))</x:f>
      </x:c>
      <x:c r="G50" s="88" t="str">
        <x:f>IF(C50="","",MIN(MAX(0,D50+E50-F50),SUMIFS(SONDERZAHLUNGEN!$E$9:$E$128,SONDERZAHLUNGEN!$B$9:$B$128,C50,SONDERZAHLUNGEN!$C$9:$C$128,A50,SONDERZAHLUNGEN!$H$9:$H$128,"OK",SONDERZAHLUNGEN!$F$9:$F$128,"Ja")))</x:f>
      </x:c>
      <x:c r="H50" s="88" t="str">
        <x:f>IF(C50="","",MIN(MAX(0,D50+E50-F50-G50),MAX(0,IF(MONATSBUDGET!$C$9="",0,MONATSBUDGET!$C$9)-SUM(F40:F59)-SUM(H40:H49))))</x:f>
      </x:c>
      <x:c r="I50" s="88" t="str">
        <x:f>IF(C50="","",MAX(0,ROUND(D50+E50-F50-G50-H50,2)))</x:f>
      </x:c>
      <x:c r="J50" s="88" t="str">
        <x:f>IF(C50="","",F50+G50+H50)</x:f>
      </x:c>
      <x:c r="K50" s="88" t="str">
        <x:f>IF(C50="","",MAX(0,SUMIFS(SONDERZAHLUNGEN!$E$9:$E$128,SONDERZAHLUNGEN!$B$9:$B$128,C50,SONDERZAHLUNGEN!$C$9:$C$128,A50,SONDERZAHLUNGEN!$H$9:$H$128,"OK",SONDERZAHLUNGEN!$F$9:$F$128,"Ja")-G50))</x:f>
      </x:c>
    </x:row>
    <x:row r="51" ht="19" customHeight="1">
      <x:c r="A51" s="90" t="n">
        <x:f>MONATSBUDGET!$A$9</x:f>
        <x:v>46266</x:v>
      </x:c>
      <x:c r="B51" t="n">
        <x:f>12</x:f>
        <x:v>12</x:v>
      </x:c>
      <x:c r="C51" t="str">
        <x:f>IF($N$20="","",$N$20)</x:f>
      </x:c>
      <x:c r="D51" s="88" t="str">
        <x:f>IF(C51="","",INDEX(FORDERUNGEN!$E$9:$E$28,MATCH(C51,FORDERUNGEN!$A$9:$A$28,0)))</x:f>
      </x:c>
      <x:c r="E51" s="88" t="str">
        <x:f>IF(C51="","",ROUND(D51*$P$20/12,2))</x:f>
      </x:c>
      <x:c r="F51" s="88" t="str">
        <x:f>IF(C51="","",MIN(D51+E51,$Q$20))</x:f>
      </x:c>
      <x:c r="G51" s="88" t="str">
        <x:f>IF(C51="","",MIN(MAX(0,D51+E51-F51),SUMIFS(SONDERZAHLUNGEN!$E$9:$E$128,SONDERZAHLUNGEN!$B$9:$B$128,C51,SONDERZAHLUNGEN!$C$9:$C$128,A51,SONDERZAHLUNGEN!$H$9:$H$128,"OK",SONDERZAHLUNGEN!$F$9:$F$128,"Ja")))</x:f>
      </x:c>
      <x:c r="H51" s="88" t="str">
        <x:f>IF(C51="","",MIN(MAX(0,D51+E51-F51-G51),MAX(0,IF(MONATSBUDGET!$C$9="",0,MONATSBUDGET!$C$9)-SUM(F40:F59)-SUM(H40:H50))))</x:f>
      </x:c>
      <x:c r="I51" s="88" t="str">
        <x:f>IF(C51="","",MAX(0,ROUND(D51+E51-F51-G51-H51,2)))</x:f>
      </x:c>
      <x:c r="J51" s="88" t="str">
        <x:f>IF(C51="","",F51+G51+H51)</x:f>
      </x:c>
      <x:c r="K51" s="88" t="str">
        <x:f>IF(C51="","",MAX(0,SUMIFS(SONDERZAHLUNGEN!$E$9:$E$128,SONDERZAHLUNGEN!$B$9:$B$128,C51,SONDERZAHLUNGEN!$C$9:$C$128,A51,SONDERZAHLUNGEN!$H$9:$H$128,"OK",SONDERZAHLUNGEN!$F$9:$F$128,"Ja")-G51))</x:f>
      </x:c>
    </x:row>
    <x:row r="52" ht="19" customHeight="1">
      <x:c r="A52" s="90" t="n">
        <x:f>MONATSBUDGET!$A$9</x:f>
        <x:v>46266</x:v>
      </x:c>
      <x:c r="B52" t="n">
        <x:f>13</x:f>
        <x:v>13</x:v>
      </x:c>
      <x:c r="C52" t="str">
        <x:f>IF($N$21="","",$N$21)</x:f>
      </x:c>
      <x:c r="D52" s="88" t="str">
        <x:f>IF(C52="","",INDEX(FORDERUNGEN!$E$9:$E$28,MATCH(C52,FORDERUNGEN!$A$9:$A$28,0)))</x:f>
      </x:c>
      <x:c r="E52" s="88" t="str">
        <x:f>IF(C52="","",ROUND(D52*$P$21/12,2))</x:f>
      </x:c>
      <x:c r="F52" s="88" t="str">
        <x:f>IF(C52="","",MIN(D52+E52,$Q$21))</x:f>
      </x:c>
      <x:c r="G52" s="88" t="str">
        <x:f>IF(C52="","",MIN(MAX(0,D52+E52-F52),SUMIFS(SONDERZAHLUNGEN!$E$9:$E$128,SONDERZAHLUNGEN!$B$9:$B$128,C52,SONDERZAHLUNGEN!$C$9:$C$128,A52,SONDERZAHLUNGEN!$H$9:$H$128,"OK",SONDERZAHLUNGEN!$F$9:$F$128,"Ja")))</x:f>
      </x:c>
      <x:c r="H52" s="88" t="str">
        <x:f>IF(C52="","",MIN(MAX(0,D52+E52-F52-G52),MAX(0,IF(MONATSBUDGET!$C$9="",0,MONATSBUDGET!$C$9)-SUM(F40:F59)-SUM(H40:H51))))</x:f>
      </x:c>
      <x:c r="I52" s="88" t="str">
        <x:f>IF(C52="","",MAX(0,ROUND(D52+E52-F52-G52-H52,2)))</x:f>
      </x:c>
      <x:c r="J52" s="88" t="str">
        <x:f>IF(C52="","",F52+G52+H52)</x:f>
      </x:c>
      <x:c r="K52" s="88" t="str">
        <x:f>IF(C52="","",MAX(0,SUMIFS(SONDERZAHLUNGEN!$E$9:$E$128,SONDERZAHLUNGEN!$B$9:$B$128,C52,SONDERZAHLUNGEN!$C$9:$C$128,A52,SONDERZAHLUNGEN!$H$9:$H$128,"OK",SONDERZAHLUNGEN!$F$9:$F$128,"Ja")-G52))</x:f>
      </x:c>
    </x:row>
    <x:row r="53" ht="19" customHeight="1">
      <x:c r="A53" s="90" t="n">
        <x:f>MONATSBUDGET!$A$9</x:f>
        <x:v>46266</x:v>
      </x:c>
      <x:c r="B53" t="n">
        <x:f>14</x:f>
        <x:v>14</x:v>
      </x:c>
      <x:c r="C53" t="str">
        <x:f>IF($N$22="","",$N$22)</x:f>
      </x:c>
      <x:c r="D53" s="88" t="str">
        <x:f>IF(C53="","",INDEX(FORDERUNGEN!$E$9:$E$28,MATCH(C53,FORDERUNGEN!$A$9:$A$28,0)))</x:f>
      </x:c>
      <x:c r="E53" s="88" t="str">
        <x:f>IF(C53="","",ROUND(D53*$P$22/12,2))</x:f>
      </x:c>
      <x:c r="F53" s="88" t="str">
        <x:f>IF(C53="","",MIN(D53+E53,$Q$22))</x:f>
      </x:c>
      <x:c r="G53" s="88" t="str">
        <x:f>IF(C53="","",MIN(MAX(0,D53+E53-F53),SUMIFS(SONDERZAHLUNGEN!$E$9:$E$128,SONDERZAHLUNGEN!$B$9:$B$128,C53,SONDERZAHLUNGEN!$C$9:$C$128,A53,SONDERZAHLUNGEN!$H$9:$H$128,"OK",SONDERZAHLUNGEN!$F$9:$F$128,"Ja")))</x:f>
      </x:c>
      <x:c r="H53" s="88" t="str">
        <x:f>IF(C53="","",MIN(MAX(0,D53+E53-F53-G53),MAX(0,IF(MONATSBUDGET!$C$9="",0,MONATSBUDGET!$C$9)-SUM(F40:F59)-SUM(H40:H52))))</x:f>
      </x:c>
      <x:c r="I53" s="88" t="str">
        <x:f>IF(C53="","",MAX(0,ROUND(D53+E53-F53-G53-H53,2)))</x:f>
      </x:c>
      <x:c r="J53" s="88" t="str">
        <x:f>IF(C53="","",F53+G53+H53)</x:f>
      </x:c>
      <x:c r="K53" s="88" t="str">
        <x:f>IF(C53="","",MAX(0,SUMIFS(SONDERZAHLUNGEN!$E$9:$E$128,SONDERZAHLUNGEN!$B$9:$B$128,C53,SONDERZAHLUNGEN!$C$9:$C$128,A53,SONDERZAHLUNGEN!$H$9:$H$128,"OK",SONDERZAHLUNGEN!$F$9:$F$128,"Ja")-G53))</x:f>
      </x:c>
    </x:row>
    <x:row r="54" ht="19" customHeight="1">
      <x:c r="A54" s="90" t="n">
        <x:f>MONATSBUDGET!$A$9</x:f>
        <x:v>46266</x:v>
      </x:c>
      <x:c r="B54" t="n">
        <x:f>15</x:f>
        <x:v>15</x:v>
      </x:c>
      <x:c r="C54" t="str">
        <x:f>IF($N$23="","",$N$23)</x:f>
      </x:c>
      <x:c r="D54" s="88" t="str">
        <x:f>IF(C54="","",INDEX(FORDERUNGEN!$E$9:$E$28,MATCH(C54,FORDERUNGEN!$A$9:$A$28,0)))</x:f>
      </x:c>
      <x:c r="E54" s="88" t="str">
        <x:f>IF(C54="","",ROUND(D54*$P$23/12,2))</x:f>
      </x:c>
      <x:c r="F54" s="88" t="str">
        <x:f>IF(C54="","",MIN(D54+E54,$Q$23))</x:f>
      </x:c>
      <x:c r="G54" s="88" t="str">
        <x:f>IF(C54="","",MIN(MAX(0,D54+E54-F54),SUMIFS(SONDERZAHLUNGEN!$E$9:$E$128,SONDERZAHLUNGEN!$B$9:$B$128,C54,SONDERZAHLUNGEN!$C$9:$C$128,A54,SONDERZAHLUNGEN!$H$9:$H$128,"OK",SONDERZAHLUNGEN!$F$9:$F$128,"Ja")))</x:f>
      </x:c>
      <x:c r="H54" s="88" t="str">
        <x:f>IF(C54="","",MIN(MAX(0,D54+E54-F54-G54),MAX(0,IF(MONATSBUDGET!$C$9="",0,MONATSBUDGET!$C$9)-SUM(F40:F59)-SUM(H40:H53))))</x:f>
      </x:c>
      <x:c r="I54" s="88" t="str">
        <x:f>IF(C54="","",MAX(0,ROUND(D54+E54-F54-G54-H54,2)))</x:f>
      </x:c>
      <x:c r="J54" s="88" t="str">
        <x:f>IF(C54="","",F54+G54+H54)</x:f>
      </x:c>
      <x:c r="K54" s="88" t="str">
        <x:f>IF(C54="","",MAX(0,SUMIFS(SONDERZAHLUNGEN!$E$9:$E$128,SONDERZAHLUNGEN!$B$9:$B$128,C54,SONDERZAHLUNGEN!$C$9:$C$128,A54,SONDERZAHLUNGEN!$H$9:$H$128,"OK",SONDERZAHLUNGEN!$F$9:$F$128,"Ja")-G54))</x:f>
      </x:c>
    </x:row>
    <x:row r="55" ht="19" customHeight="1">
      <x:c r="A55" s="90" t="n">
        <x:f>MONATSBUDGET!$A$9</x:f>
        <x:v>46266</x:v>
      </x:c>
      <x:c r="B55" t="n">
        <x:f>16</x:f>
        <x:v>16</x:v>
      </x:c>
      <x:c r="C55" t="str">
        <x:f>IF($N$24="","",$N$24)</x:f>
      </x:c>
      <x:c r="D55" s="88" t="str">
        <x:f>IF(C55="","",INDEX(FORDERUNGEN!$E$9:$E$28,MATCH(C55,FORDERUNGEN!$A$9:$A$28,0)))</x:f>
      </x:c>
      <x:c r="E55" s="88" t="str">
        <x:f>IF(C55="","",ROUND(D55*$P$24/12,2))</x:f>
      </x:c>
      <x:c r="F55" s="88" t="str">
        <x:f>IF(C55="","",MIN(D55+E55,$Q$24))</x:f>
      </x:c>
      <x:c r="G55" s="88" t="str">
        <x:f>IF(C55="","",MIN(MAX(0,D55+E55-F55),SUMIFS(SONDERZAHLUNGEN!$E$9:$E$128,SONDERZAHLUNGEN!$B$9:$B$128,C55,SONDERZAHLUNGEN!$C$9:$C$128,A55,SONDERZAHLUNGEN!$H$9:$H$128,"OK",SONDERZAHLUNGEN!$F$9:$F$128,"Ja")))</x:f>
      </x:c>
      <x:c r="H55" s="88" t="str">
        <x:f>IF(C55="","",MIN(MAX(0,D55+E55-F55-G55),MAX(0,IF(MONATSBUDGET!$C$9="",0,MONATSBUDGET!$C$9)-SUM(F40:F59)-SUM(H40:H54))))</x:f>
      </x:c>
      <x:c r="I55" s="88" t="str">
        <x:f>IF(C55="","",MAX(0,ROUND(D55+E55-F55-G55-H55,2)))</x:f>
      </x:c>
      <x:c r="J55" s="88" t="str">
        <x:f>IF(C55="","",F55+G55+H55)</x:f>
      </x:c>
      <x:c r="K55" s="88" t="str">
        <x:f>IF(C55="","",MAX(0,SUMIFS(SONDERZAHLUNGEN!$E$9:$E$128,SONDERZAHLUNGEN!$B$9:$B$128,C55,SONDERZAHLUNGEN!$C$9:$C$128,A55,SONDERZAHLUNGEN!$H$9:$H$128,"OK",SONDERZAHLUNGEN!$F$9:$F$128,"Ja")-G55))</x:f>
      </x:c>
    </x:row>
    <x:row r="56" ht="19" customHeight="1">
      <x:c r="A56" s="90" t="n">
        <x:f>MONATSBUDGET!$A$9</x:f>
        <x:v>46266</x:v>
      </x:c>
      <x:c r="B56" t="n">
        <x:f>17</x:f>
        <x:v>17</x:v>
      </x:c>
      <x:c r="C56" t="str">
        <x:f>IF($N$25="","",$N$25)</x:f>
      </x:c>
      <x:c r="D56" s="88" t="str">
        <x:f>IF(C56="","",INDEX(FORDERUNGEN!$E$9:$E$28,MATCH(C56,FORDERUNGEN!$A$9:$A$28,0)))</x:f>
      </x:c>
      <x:c r="E56" s="88" t="str">
        <x:f>IF(C56="","",ROUND(D56*$P$25/12,2))</x:f>
      </x:c>
      <x:c r="F56" s="88" t="str">
        <x:f>IF(C56="","",MIN(D56+E56,$Q$25))</x:f>
      </x:c>
      <x:c r="G56" s="88" t="str">
        <x:f>IF(C56="","",MIN(MAX(0,D56+E56-F56),SUMIFS(SONDERZAHLUNGEN!$E$9:$E$128,SONDERZAHLUNGEN!$B$9:$B$128,C56,SONDERZAHLUNGEN!$C$9:$C$128,A56,SONDERZAHLUNGEN!$H$9:$H$128,"OK",SONDERZAHLUNGEN!$F$9:$F$128,"Ja")))</x:f>
      </x:c>
      <x:c r="H56" s="88" t="str">
        <x:f>IF(C56="","",MIN(MAX(0,D56+E56-F56-G56),MAX(0,IF(MONATSBUDGET!$C$9="",0,MONATSBUDGET!$C$9)-SUM(F40:F59)-SUM(H40:H55))))</x:f>
      </x:c>
      <x:c r="I56" s="88" t="str">
        <x:f>IF(C56="","",MAX(0,ROUND(D56+E56-F56-G56-H56,2)))</x:f>
      </x:c>
      <x:c r="J56" s="88" t="str">
        <x:f>IF(C56="","",F56+G56+H56)</x:f>
      </x:c>
      <x:c r="K56" s="88" t="str">
        <x:f>IF(C56="","",MAX(0,SUMIFS(SONDERZAHLUNGEN!$E$9:$E$128,SONDERZAHLUNGEN!$B$9:$B$128,C56,SONDERZAHLUNGEN!$C$9:$C$128,A56,SONDERZAHLUNGEN!$H$9:$H$128,"OK",SONDERZAHLUNGEN!$F$9:$F$128,"Ja")-G56))</x:f>
      </x:c>
    </x:row>
    <x:row r="57" ht="19" customHeight="1">
      <x:c r="A57" s="90" t="n">
        <x:f>MONATSBUDGET!$A$9</x:f>
        <x:v>46266</x:v>
      </x:c>
      <x:c r="B57" t="n">
        <x:f>18</x:f>
        <x:v>18</x:v>
      </x:c>
      <x:c r="C57" t="str">
        <x:f>IF($N$26="","",$N$26)</x:f>
      </x:c>
      <x:c r="D57" s="88" t="str">
        <x:f>IF(C57="","",INDEX(FORDERUNGEN!$E$9:$E$28,MATCH(C57,FORDERUNGEN!$A$9:$A$28,0)))</x:f>
      </x:c>
      <x:c r="E57" s="88" t="str">
        <x:f>IF(C57="","",ROUND(D57*$P$26/12,2))</x:f>
      </x:c>
      <x:c r="F57" s="88" t="str">
        <x:f>IF(C57="","",MIN(D57+E57,$Q$26))</x:f>
      </x:c>
      <x:c r="G57" s="88" t="str">
        <x:f>IF(C57="","",MIN(MAX(0,D57+E57-F57),SUMIFS(SONDERZAHLUNGEN!$E$9:$E$128,SONDERZAHLUNGEN!$B$9:$B$128,C57,SONDERZAHLUNGEN!$C$9:$C$128,A57,SONDERZAHLUNGEN!$H$9:$H$128,"OK",SONDERZAHLUNGEN!$F$9:$F$128,"Ja")))</x:f>
      </x:c>
      <x:c r="H57" s="88" t="str">
        <x:f>IF(C57="","",MIN(MAX(0,D57+E57-F57-G57),MAX(0,IF(MONATSBUDGET!$C$9="",0,MONATSBUDGET!$C$9)-SUM(F40:F59)-SUM(H40:H56))))</x:f>
      </x:c>
      <x:c r="I57" s="88" t="str">
        <x:f>IF(C57="","",MAX(0,ROUND(D57+E57-F57-G57-H57,2)))</x:f>
      </x:c>
      <x:c r="J57" s="88" t="str">
        <x:f>IF(C57="","",F57+G57+H57)</x:f>
      </x:c>
      <x:c r="K57" s="88" t="str">
        <x:f>IF(C57="","",MAX(0,SUMIFS(SONDERZAHLUNGEN!$E$9:$E$128,SONDERZAHLUNGEN!$B$9:$B$128,C57,SONDERZAHLUNGEN!$C$9:$C$128,A57,SONDERZAHLUNGEN!$H$9:$H$128,"OK",SONDERZAHLUNGEN!$F$9:$F$128,"Ja")-G57))</x:f>
      </x:c>
    </x:row>
    <x:row r="58" ht="19" customHeight="1">
      <x:c r="A58" s="90" t="n">
        <x:f>MONATSBUDGET!$A$9</x:f>
        <x:v>46266</x:v>
      </x:c>
      <x:c r="B58" t="n">
        <x:f>19</x:f>
        <x:v>19</x:v>
      </x:c>
      <x:c r="C58" t="str">
        <x:f>IF($N$27="","",$N$27)</x:f>
      </x:c>
      <x:c r="D58" s="88" t="str">
        <x:f>IF(C58="","",INDEX(FORDERUNGEN!$E$9:$E$28,MATCH(C58,FORDERUNGEN!$A$9:$A$28,0)))</x:f>
      </x:c>
      <x:c r="E58" s="88" t="str">
        <x:f>IF(C58="","",ROUND(D58*$P$27/12,2))</x:f>
      </x:c>
      <x:c r="F58" s="88" t="str">
        <x:f>IF(C58="","",MIN(D58+E58,$Q$27))</x:f>
      </x:c>
      <x:c r="G58" s="88" t="str">
        <x:f>IF(C58="","",MIN(MAX(0,D58+E58-F58),SUMIFS(SONDERZAHLUNGEN!$E$9:$E$128,SONDERZAHLUNGEN!$B$9:$B$128,C58,SONDERZAHLUNGEN!$C$9:$C$128,A58,SONDERZAHLUNGEN!$H$9:$H$128,"OK",SONDERZAHLUNGEN!$F$9:$F$128,"Ja")))</x:f>
      </x:c>
      <x:c r="H58" s="88" t="str">
        <x:f>IF(C58="","",MIN(MAX(0,D58+E58-F58-G58),MAX(0,IF(MONATSBUDGET!$C$9="",0,MONATSBUDGET!$C$9)-SUM(F40:F59)-SUM(H40:H57))))</x:f>
      </x:c>
      <x:c r="I58" s="88" t="str">
        <x:f>IF(C58="","",MAX(0,ROUND(D58+E58-F58-G58-H58,2)))</x:f>
      </x:c>
      <x:c r="J58" s="88" t="str">
        <x:f>IF(C58="","",F58+G58+H58)</x:f>
      </x:c>
      <x:c r="K58" s="88" t="str">
        <x:f>IF(C58="","",MAX(0,SUMIFS(SONDERZAHLUNGEN!$E$9:$E$128,SONDERZAHLUNGEN!$B$9:$B$128,C58,SONDERZAHLUNGEN!$C$9:$C$128,A58,SONDERZAHLUNGEN!$H$9:$H$128,"OK",SONDERZAHLUNGEN!$F$9:$F$128,"Ja")-G58))</x:f>
      </x:c>
    </x:row>
    <x:row r="59" ht="19" customHeight="1">
      <x:c r="A59" s="90" t="n">
        <x:f>MONATSBUDGET!$A$9</x:f>
        <x:v>46266</x:v>
      </x:c>
      <x:c r="B59" t="n">
        <x:f>20</x:f>
        <x:v>20</x:v>
      </x:c>
      <x:c r="C59" t="str">
        <x:f>IF($N$28="","",$N$28)</x:f>
      </x:c>
      <x:c r="D59" s="88" t="str">
        <x:f>IF(C59="","",INDEX(FORDERUNGEN!$E$9:$E$28,MATCH(C59,FORDERUNGEN!$A$9:$A$28,0)))</x:f>
      </x:c>
      <x:c r="E59" s="88" t="str">
        <x:f>IF(C59="","",ROUND(D59*$P$28/12,2))</x:f>
      </x:c>
      <x:c r="F59" s="88" t="str">
        <x:f>IF(C59="","",MIN(D59+E59,$Q$28))</x:f>
      </x:c>
      <x:c r="G59" s="88" t="str">
        <x:f>IF(C59="","",MIN(MAX(0,D59+E59-F59),SUMIFS(SONDERZAHLUNGEN!$E$9:$E$128,SONDERZAHLUNGEN!$B$9:$B$128,C59,SONDERZAHLUNGEN!$C$9:$C$128,A59,SONDERZAHLUNGEN!$H$9:$H$128,"OK",SONDERZAHLUNGEN!$F$9:$F$128,"Ja")))</x:f>
      </x:c>
      <x:c r="H59" s="88" t="str">
        <x:f>IF(C59="","",MIN(MAX(0,D59+E59-F59-G59),MAX(0,IF(MONATSBUDGET!$C$9="",0,MONATSBUDGET!$C$9)-SUM(F40:F59)-SUM(H40:H58))))</x:f>
      </x:c>
      <x:c r="I59" s="88" t="str">
        <x:f>IF(C59="","",MAX(0,ROUND(D59+E59-F59-G59-H59,2)))</x:f>
      </x:c>
      <x:c r="J59" s="88" t="str">
        <x:f>IF(C59="","",F59+G59+H59)</x:f>
      </x:c>
      <x:c r="K59" s="88" t="str">
        <x:f>IF(C59="","",MAX(0,SUMIFS(SONDERZAHLUNGEN!$E$9:$E$128,SONDERZAHLUNGEN!$B$9:$B$128,C59,SONDERZAHLUNGEN!$C$9:$C$128,A59,SONDERZAHLUNGEN!$H$9:$H$128,"OK",SONDERZAHLUNGEN!$F$9:$F$128,"Ja")-G59))</x:f>
      </x:c>
    </x:row>
    <x:row r="60" ht="19" customHeight="1">
      <x:c r="A60" s="90" t="n">
        <x:f>MONATSBUDGET!$A$10</x:f>
        <x:v>46296</x:v>
      </x:c>
      <x:c r="B60" t="n">
        <x:f>1</x:f>
        <x:v>1</x:v>
      </x:c>
      <x:c r="C60" t="str">
        <x:f>IF($N$9="","",$N$9)</x:f>
      </x:c>
      <x:c r="D60" s="88" t="str">
        <x:f>IF(C60="","",I40)</x:f>
      </x:c>
      <x:c r="E60" s="88" t="str">
        <x:f>IF(C60="","",ROUND(D60*$P$9/12,2))</x:f>
      </x:c>
      <x:c r="F60" s="88" t="str">
        <x:f>IF(C60="","",MIN(D60+E60,$Q$9))</x:f>
      </x:c>
      <x:c r="G60" s="88" t="str">
        <x:f>IF(C60="","",MIN(MAX(0,D60+E60-F60),SUMIFS(SONDERZAHLUNGEN!$E$9:$E$128,SONDERZAHLUNGEN!$B$9:$B$128,C60,SONDERZAHLUNGEN!$C$9:$C$128,A60,SONDERZAHLUNGEN!$H$9:$H$128,"OK",SONDERZAHLUNGEN!$F$9:$F$128,"Ja")))</x:f>
      </x:c>
      <x:c r="H60" s="88" t="str">
        <x:f>IF(C60="","",MIN(MAX(0,D60+E60-F60-G60),MAX(0,IF(MONATSBUDGET!$C$10="",0,MONATSBUDGET!$C$10)-SUM(F60:F79)-0)))</x:f>
      </x:c>
      <x:c r="I60" s="88" t="str">
        <x:f>IF(C60="","",MAX(0,ROUND(D60+E60-F60-G60-H60,2)))</x:f>
      </x:c>
      <x:c r="J60" s="88" t="str">
        <x:f>IF(C60="","",F60+G60+H60)</x:f>
      </x:c>
      <x:c r="K60" s="88" t="str">
        <x:f>IF(C60="","",MAX(0,SUMIFS(SONDERZAHLUNGEN!$E$9:$E$128,SONDERZAHLUNGEN!$B$9:$B$128,C60,SONDERZAHLUNGEN!$C$9:$C$128,A60,SONDERZAHLUNGEN!$H$9:$H$128,"OK",SONDERZAHLUNGEN!$F$9:$F$128,"Ja")-G60))</x:f>
      </x:c>
    </x:row>
    <x:row r="61" ht="19" customHeight="1">
      <x:c r="A61" s="90" t="n">
        <x:f>MONATSBUDGET!$A$10</x:f>
        <x:v>46296</x:v>
      </x:c>
      <x:c r="B61" t="n">
        <x:f>2</x:f>
        <x:v>2</x:v>
      </x:c>
      <x:c r="C61" t="str">
        <x:f>IF($N$10="","",$N$10)</x:f>
      </x:c>
      <x:c r="D61" s="88" t="str">
        <x:f>IF(C61="","",I41)</x:f>
      </x:c>
      <x:c r="E61" s="88" t="str">
        <x:f>IF(C61="","",ROUND(D61*$P$10/12,2))</x:f>
      </x:c>
      <x:c r="F61" s="88" t="str">
        <x:f>IF(C61="","",MIN(D61+E61,$Q$10))</x:f>
      </x:c>
      <x:c r="G61" s="88" t="str">
        <x:f>IF(C61="","",MIN(MAX(0,D61+E61-F61),SUMIFS(SONDERZAHLUNGEN!$E$9:$E$128,SONDERZAHLUNGEN!$B$9:$B$128,C61,SONDERZAHLUNGEN!$C$9:$C$128,A61,SONDERZAHLUNGEN!$H$9:$H$128,"OK",SONDERZAHLUNGEN!$F$9:$F$128,"Ja")))</x:f>
      </x:c>
      <x:c r="H61" s="88" t="str">
        <x:f>IF(C61="","",MIN(MAX(0,D61+E61-F61-G61),MAX(0,IF(MONATSBUDGET!$C$10="",0,MONATSBUDGET!$C$10)-SUM(F60:F79)-SUM(H60:H60))))</x:f>
      </x:c>
      <x:c r="I61" s="88" t="str">
        <x:f>IF(C61="","",MAX(0,ROUND(D61+E61-F61-G61-H61,2)))</x:f>
      </x:c>
      <x:c r="J61" s="88" t="str">
        <x:f>IF(C61="","",F61+G61+H61)</x:f>
      </x:c>
      <x:c r="K61" s="88" t="str">
        <x:f>IF(C61="","",MAX(0,SUMIFS(SONDERZAHLUNGEN!$E$9:$E$128,SONDERZAHLUNGEN!$B$9:$B$128,C61,SONDERZAHLUNGEN!$C$9:$C$128,A61,SONDERZAHLUNGEN!$H$9:$H$128,"OK",SONDERZAHLUNGEN!$F$9:$F$128,"Ja")-G61))</x:f>
      </x:c>
    </x:row>
    <x:row r="62" ht="19" customHeight="1">
      <x:c r="A62" s="90" t="n">
        <x:f>MONATSBUDGET!$A$10</x:f>
        <x:v>46296</x:v>
      </x:c>
      <x:c r="B62" t="n">
        <x:f>3</x:f>
        <x:v>3</x:v>
      </x:c>
      <x:c r="C62" t="str">
        <x:f>IF($N$11="","",$N$11)</x:f>
      </x:c>
      <x:c r="D62" s="88" t="str">
        <x:f>IF(C62="","",I42)</x:f>
      </x:c>
      <x:c r="E62" s="88" t="str">
        <x:f>IF(C62="","",ROUND(D62*$P$11/12,2))</x:f>
      </x:c>
      <x:c r="F62" s="88" t="str">
        <x:f>IF(C62="","",MIN(D62+E62,$Q$11))</x:f>
      </x:c>
      <x:c r="G62" s="88" t="str">
        <x:f>IF(C62="","",MIN(MAX(0,D62+E62-F62),SUMIFS(SONDERZAHLUNGEN!$E$9:$E$128,SONDERZAHLUNGEN!$B$9:$B$128,C62,SONDERZAHLUNGEN!$C$9:$C$128,A62,SONDERZAHLUNGEN!$H$9:$H$128,"OK",SONDERZAHLUNGEN!$F$9:$F$128,"Ja")))</x:f>
      </x:c>
      <x:c r="H62" s="88" t="str">
        <x:f>IF(C62="","",MIN(MAX(0,D62+E62-F62-G62),MAX(0,IF(MONATSBUDGET!$C$10="",0,MONATSBUDGET!$C$10)-SUM(F60:F79)-SUM(H60:H61))))</x:f>
      </x:c>
      <x:c r="I62" s="88" t="str">
        <x:f>IF(C62="","",MAX(0,ROUND(D62+E62-F62-G62-H62,2)))</x:f>
      </x:c>
      <x:c r="J62" s="88" t="str">
        <x:f>IF(C62="","",F62+G62+H62)</x:f>
      </x:c>
      <x:c r="K62" s="88" t="str">
        <x:f>IF(C62="","",MAX(0,SUMIFS(SONDERZAHLUNGEN!$E$9:$E$128,SONDERZAHLUNGEN!$B$9:$B$128,C62,SONDERZAHLUNGEN!$C$9:$C$128,A62,SONDERZAHLUNGEN!$H$9:$H$128,"OK",SONDERZAHLUNGEN!$F$9:$F$128,"Ja")-G62))</x:f>
      </x:c>
    </x:row>
    <x:row r="63" ht="19" customHeight="1">
      <x:c r="A63" s="90" t="n">
        <x:f>MONATSBUDGET!$A$10</x:f>
        <x:v>46296</x:v>
      </x:c>
      <x:c r="B63" t="n">
        <x:f>4</x:f>
        <x:v>4</x:v>
      </x:c>
      <x:c r="C63" t="str">
        <x:f>IF($N$12="","",$N$12)</x:f>
      </x:c>
      <x:c r="D63" s="88" t="str">
        <x:f>IF(C63="","",I43)</x:f>
      </x:c>
      <x:c r="E63" s="88" t="str">
        <x:f>IF(C63="","",ROUND(D63*$P$12/12,2))</x:f>
      </x:c>
      <x:c r="F63" s="88" t="str">
        <x:f>IF(C63="","",MIN(D63+E63,$Q$12))</x:f>
      </x:c>
      <x:c r="G63" s="88" t="str">
        <x:f>IF(C63="","",MIN(MAX(0,D63+E63-F63),SUMIFS(SONDERZAHLUNGEN!$E$9:$E$128,SONDERZAHLUNGEN!$B$9:$B$128,C63,SONDERZAHLUNGEN!$C$9:$C$128,A63,SONDERZAHLUNGEN!$H$9:$H$128,"OK",SONDERZAHLUNGEN!$F$9:$F$128,"Ja")))</x:f>
      </x:c>
      <x:c r="H63" s="88" t="str">
        <x:f>IF(C63="","",MIN(MAX(0,D63+E63-F63-G63),MAX(0,IF(MONATSBUDGET!$C$10="",0,MONATSBUDGET!$C$10)-SUM(F60:F79)-SUM(H60:H62))))</x:f>
      </x:c>
      <x:c r="I63" s="88" t="str">
        <x:f>IF(C63="","",MAX(0,ROUND(D63+E63-F63-G63-H63,2)))</x:f>
      </x:c>
      <x:c r="J63" s="88" t="str">
        <x:f>IF(C63="","",F63+G63+H63)</x:f>
      </x:c>
      <x:c r="K63" s="88" t="str">
        <x:f>IF(C63="","",MAX(0,SUMIFS(SONDERZAHLUNGEN!$E$9:$E$128,SONDERZAHLUNGEN!$B$9:$B$128,C63,SONDERZAHLUNGEN!$C$9:$C$128,A63,SONDERZAHLUNGEN!$H$9:$H$128,"OK",SONDERZAHLUNGEN!$F$9:$F$128,"Ja")-G63))</x:f>
      </x:c>
    </x:row>
    <x:row r="64" ht="19" customHeight="1">
      <x:c r="A64" s="90" t="n">
        <x:f>MONATSBUDGET!$A$10</x:f>
        <x:v>46296</x:v>
      </x:c>
      <x:c r="B64" t="n">
        <x:f>5</x:f>
        <x:v>5</x:v>
      </x:c>
      <x:c r="C64" t="str">
        <x:f>IF($N$13="","",$N$13)</x:f>
      </x:c>
      <x:c r="D64" s="88" t="str">
        <x:f>IF(C64="","",I44)</x:f>
      </x:c>
      <x:c r="E64" s="88" t="str">
        <x:f>IF(C64="","",ROUND(D64*$P$13/12,2))</x:f>
      </x:c>
      <x:c r="F64" s="88" t="str">
        <x:f>IF(C64="","",MIN(D64+E64,$Q$13))</x:f>
      </x:c>
      <x:c r="G64" s="88" t="str">
        <x:f>IF(C64="","",MIN(MAX(0,D64+E64-F64),SUMIFS(SONDERZAHLUNGEN!$E$9:$E$128,SONDERZAHLUNGEN!$B$9:$B$128,C64,SONDERZAHLUNGEN!$C$9:$C$128,A64,SONDERZAHLUNGEN!$H$9:$H$128,"OK",SONDERZAHLUNGEN!$F$9:$F$128,"Ja")))</x:f>
      </x:c>
      <x:c r="H64" s="88" t="str">
        <x:f>IF(C64="","",MIN(MAX(0,D64+E64-F64-G64),MAX(0,IF(MONATSBUDGET!$C$10="",0,MONATSBUDGET!$C$10)-SUM(F60:F79)-SUM(H60:H63))))</x:f>
      </x:c>
      <x:c r="I64" s="88" t="str">
        <x:f>IF(C64="","",MAX(0,ROUND(D64+E64-F64-G64-H64,2)))</x:f>
      </x:c>
      <x:c r="J64" s="88" t="str">
        <x:f>IF(C64="","",F64+G64+H64)</x:f>
      </x:c>
      <x:c r="K64" s="88" t="str">
        <x:f>IF(C64="","",MAX(0,SUMIFS(SONDERZAHLUNGEN!$E$9:$E$128,SONDERZAHLUNGEN!$B$9:$B$128,C64,SONDERZAHLUNGEN!$C$9:$C$128,A64,SONDERZAHLUNGEN!$H$9:$H$128,"OK",SONDERZAHLUNGEN!$F$9:$F$128,"Ja")-G64))</x:f>
      </x:c>
    </x:row>
    <x:row r="65" ht="19" customHeight="1">
      <x:c r="A65" s="90" t="n">
        <x:f>MONATSBUDGET!$A$10</x:f>
        <x:v>46296</x:v>
      </x:c>
      <x:c r="B65" t="n">
        <x:f>6</x:f>
        <x:v>6</x:v>
      </x:c>
      <x:c r="C65" t="str">
        <x:f>IF($N$14="","",$N$14)</x:f>
      </x:c>
      <x:c r="D65" s="88" t="str">
        <x:f>IF(C65="","",I45)</x:f>
      </x:c>
      <x:c r="E65" s="88" t="str">
        <x:f>IF(C65="","",ROUND(D65*$P$14/12,2))</x:f>
      </x:c>
      <x:c r="F65" s="88" t="str">
        <x:f>IF(C65="","",MIN(D65+E65,$Q$14))</x:f>
      </x:c>
      <x:c r="G65" s="88" t="str">
        <x:f>IF(C65="","",MIN(MAX(0,D65+E65-F65),SUMIFS(SONDERZAHLUNGEN!$E$9:$E$128,SONDERZAHLUNGEN!$B$9:$B$128,C65,SONDERZAHLUNGEN!$C$9:$C$128,A65,SONDERZAHLUNGEN!$H$9:$H$128,"OK",SONDERZAHLUNGEN!$F$9:$F$128,"Ja")))</x:f>
      </x:c>
      <x:c r="H65" s="88" t="str">
        <x:f>IF(C65="","",MIN(MAX(0,D65+E65-F65-G65),MAX(0,IF(MONATSBUDGET!$C$10="",0,MONATSBUDGET!$C$10)-SUM(F60:F79)-SUM(H60:H64))))</x:f>
      </x:c>
      <x:c r="I65" s="88" t="str">
        <x:f>IF(C65="","",MAX(0,ROUND(D65+E65-F65-G65-H65,2)))</x:f>
      </x:c>
      <x:c r="J65" s="88" t="str">
        <x:f>IF(C65="","",F65+G65+H65)</x:f>
      </x:c>
      <x:c r="K65" s="88" t="str">
        <x:f>IF(C65="","",MAX(0,SUMIFS(SONDERZAHLUNGEN!$E$9:$E$128,SONDERZAHLUNGEN!$B$9:$B$128,C65,SONDERZAHLUNGEN!$C$9:$C$128,A65,SONDERZAHLUNGEN!$H$9:$H$128,"OK",SONDERZAHLUNGEN!$F$9:$F$128,"Ja")-G65))</x:f>
      </x:c>
    </x:row>
    <x:row r="66" ht="19" customHeight="1">
      <x:c r="A66" s="90" t="n">
        <x:f>MONATSBUDGET!$A$10</x:f>
        <x:v>46296</x:v>
      </x:c>
      <x:c r="B66" t="n">
        <x:f>7</x:f>
        <x:v>7</x:v>
      </x:c>
      <x:c r="C66" t="str">
        <x:f>IF($N$15="","",$N$15)</x:f>
      </x:c>
      <x:c r="D66" s="88" t="str">
        <x:f>IF(C66="","",I46)</x:f>
      </x:c>
      <x:c r="E66" s="88" t="str">
        <x:f>IF(C66="","",ROUND(D66*$P$15/12,2))</x:f>
      </x:c>
      <x:c r="F66" s="88" t="str">
        <x:f>IF(C66="","",MIN(D66+E66,$Q$15))</x:f>
      </x:c>
      <x:c r="G66" s="88" t="str">
        <x:f>IF(C66="","",MIN(MAX(0,D66+E66-F66),SUMIFS(SONDERZAHLUNGEN!$E$9:$E$128,SONDERZAHLUNGEN!$B$9:$B$128,C66,SONDERZAHLUNGEN!$C$9:$C$128,A66,SONDERZAHLUNGEN!$H$9:$H$128,"OK",SONDERZAHLUNGEN!$F$9:$F$128,"Ja")))</x:f>
      </x:c>
      <x:c r="H66" s="88" t="str">
        <x:f>IF(C66="","",MIN(MAX(0,D66+E66-F66-G66),MAX(0,IF(MONATSBUDGET!$C$10="",0,MONATSBUDGET!$C$10)-SUM(F60:F79)-SUM(H60:H65))))</x:f>
      </x:c>
      <x:c r="I66" s="88" t="str">
        <x:f>IF(C66="","",MAX(0,ROUND(D66+E66-F66-G66-H66,2)))</x:f>
      </x:c>
      <x:c r="J66" s="88" t="str">
        <x:f>IF(C66="","",F66+G66+H66)</x:f>
      </x:c>
      <x:c r="K66" s="88" t="str">
        <x:f>IF(C66="","",MAX(0,SUMIFS(SONDERZAHLUNGEN!$E$9:$E$128,SONDERZAHLUNGEN!$B$9:$B$128,C66,SONDERZAHLUNGEN!$C$9:$C$128,A66,SONDERZAHLUNGEN!$H$9:$H$128,"OK",SONDERZAHLUNGEN!$F$9:$F$128,"Ja")-G66))</x:f>
      </x:c>
    </x:row>
    <x:row r="67" ht="19" customHeight="1">
      <x:c r="A67" s="90" t="n">
        <x:f>MONATSBUDGET!$A$10</x:f>
        <x:v>46296</x:v>
      </x:c>
      <x:c r="B67" t="n">
        <x:f>8</x:f>
        <x:v>8</x:v>
      </x:c>
      <x:c r="C67" t="str">
        <x:f>IF($N$16="","",$N$16)</x:f>
      </x:c>
      <x:c r="D67" s="88" t="str">
        <x:f>IF(C67="","",I47)</x:f>
      </x:c>
      <x:c r="E67" s="88" t="str">
        <x:f>IF(C67="","",ROUND(D67*$P$16/12,2))</x:f>
      </x:c>
      <x:c r="F67" s="88" t="str">
        <x:f>IF(C67="","",MIN(D67+E67,$Q$16))</x:f>
      </x:c>
      <x:c r="G67" s="88" t="str">
        <x:f>IF(C67="","",MIN(MAX(0,D67+E67-F67),SUMIFS(SONDERZAHLUNGEN!$E$9:$E$128,SONDERZAHLUNGEN!$B$9:$B$128,C67,SONDERZAHLUNGEN!$C$9:$C$128,A67,SONDERZAHLUNGEN!$H$9:$H$128,"OK",SONDERZAHLUNGEN!$F$9:$F$128,"Ja")))</x:f>
      </x:c>
      <x:c r="H67" s="88" t="str">
        <x:f>IF(C67="","",MIN(MAX(0,D67+E67-F67-G67),MAX(0,IF(MONATSBUDGET!$C$10="",0,MONATSBUDGET!$C$10)-SUM(F60:F79)-SUM(H60:H66))))</x:f>
      </x:c>
      <x:c r="I67" s="88" t="str">
        <x:f>IF(C67="","",MAX(0,ROUND(D67+E67-F67-G67-H67,2)))</x:f>
      </x:c>
      <x:c r="J67" s="88" t="str">
        <x:f>IF(C67="","",F67+G67+H67)</x:f>
      </x:c>
      <x:c r="K67" s="88" t="str">
        <x:f>IF(C67="","",MAX(0,SUMIFS(SONDERZAHLUNGEN!$E$9:$E$128,SONDERZAHLUNGEN!$B$9:$B$128,C67,SONDERZAHLUNGEN!$C$9:$C$128,A67,SONDERZAHLUNGEN!$H$9:$H$128,"OK",SONDERZAHLUNGEN!$F$9:$F$128,"Ja")-G67))</x:f>
      </x:c>
    </x:row>
    <x:row r="68" ht="19" customHeight="1">
      <x:c r="A68" s="90" t="n">
        <x:f>MONATSBUDGET!$A$10</x:f>
        <x:v>46296</x:v>
      </x:c>
      <x:c r="B68" t="n">
        <x:f>9</x:f>
        <x:v>9</x:v>
      </x:c>
      <x:c r="C68" t="str">
        <x:f>IF($N$17="","",$N$17)</x:f>
      </x:c>
      <x:c r="D68" s="88" t="str">
        <x:f>IF(C68="","",I48)</x:f>
      </x:c>
      <x:c r="E68" s="88" t="str">
        <x:f>IF(C68="","",ROUND(D68*$P$17/12,2))</x:f>
      </x:c>
      <x:c r="F68" s="88" t="str">
        <x:f>IF(C68="","",MIN(D68+E68,$Q$17))</x:f>
      </x:c>
      <x:c r="G68" s="88" t="str">
        <x:f>IF(C68="","",MIN(MAX(0,D68+E68-F68),SUMIFS(SONDERZAHLUNGEN!$E$9:$E$128,SONDERZAHLUNGEN!$B$9:$B$128,C68,SONDERZAHLUNGEN!$C$9:$C$128,A68,SONDERZAHLUNGEN!$H$9:$H$128,"OK",SONDERZAHLUNGEN!$F$9:$F$128,"Ja")))</x:f>
      </x:c>
      <x:c r="H68" s="88" t="str">
        <x:f>IF(C68="","",MIN(MAX(0,D68+E68-F68-G68),MAX(0,IF(MONATSBUDGET!$C$10="",0,MONATSBUDGET!$C$10)-SUM(F60:F79)-SUM(H60:H67))))</x:f>
      </x:c>
      <x:c r="I68" s="88" t="str">
        <x:f>IF(C68="","",MAX(0,ROUND(D68+E68-F68-G68-H68,2)))</x:f>
      </x:c>
      <x:c r="J68" s="88" t="str">
        <x:f>IF(C68="","",F68+G68+H68)</x:f>
      </x:c>
      <x:c r="K68" s="88" t="str">
        <x:f>IF(C68="","",MAX(0,SUMIFS(SONDERZAHLUNGEN!$E$9:$E$128,SONDERZAHLUNGEN!$B$9:$B$128,C68,SONDERZAHLUNGEN!$C$9:$C$128,A68,SONDERZAHLUNGEN!$H$9:$H$128,"OK",SONDERZAHLUNGEN!$F$9:$F$128,"Ja")-G68))</x:f>
      </x:c>
    </x:row>
    <x:row r="69" ht="19" customHeight="1">
      <x:c r="A69" s="90" t="n">
        <x:f>MONATSBUDGET!$A$10</x:f>
        <x:v>46296</x:v>
      </x:c>
      <x:c r="B69" t="n">
        <x:f>10</x:f>
        <x:v>10</x:v>
      </x:c>
      <x:c r="C69" t="str">
        <x:f>IF($N$18="","",$N$18)</x:f>
      </x:c>
      <x:c r="D69" s="88" t="str">
        <x:f>IF(C69="","",I49)</x:f>
      </x:c>
      <x:c r="E69" s="88" t="str">
        <x:f>IF(C69="","",ROUND(D69*$P$18/12,2))</x:f>
      </x:c>
      <x:c r="F69" s="88" t="str">
        <x:f>IF(C69="","",MIN(D69+E69,$Q$18))</x:f>
      </x:c>
      <x:c r="G69" s="88" t="str">
        <x:f>IF(C69="","",MIN(MAX(0,D69+E69-F69),SUMIFS(SONDERZAHLUNGEN!$E$9:$E$128,SONDERZAHLUNGEN!$B$9:$B$128,C69,SONDERZAHLUNGEN!$C$9:$C$128,A69,SONDERZAHLUNGEN!$H$9:$H$128,"OK",SONDERZAHLUNGEN!$F$9:$F$128,"Ja")))</x:f>
      </x:c>
      <x:c r="H69" s="88" t="str">
        <x:f>IF(C69="","",MIN(MAX(0,D69+E69-F69-G69),MAX(0,IF(MONATSBUDGET!$C$10="",0,MONATSBUDGET!$C$10)-SUM(F60:F79)-SUM(H60:H68))))</x:f>
      </x:c>
      <x:c r="I69" s="88" t="str">
        <x:f>IF(C69="","",MAX(0,ROUND(D69+E69-F69-G69-H69,2)))</x:f>
      </x:c>
      <x:c r="J69" s="88" t="str">
        <x:f>IF(C69="","",F69+G69+H69)</x:f>
      </x:c>
      <x:c r="K69" s="88" t="str">
        <x:f>IF(C69="","",MAX(0,SUMIFS(SONDERZAHLUNGEN!$E$9:$E$128,SONDERZAHLUNGEN!$B$9:$B$128,C69,SONDERZAHLUNGEN!$C$9:$C$128,A69,SONDERZAHLUNGEN!$H$9:$H$128,"OK",SONDERZAHLUNGEN!$F$9:$F$128,"Ja")-G69))</x:f>
      </x:c>
    </x:row>
    <x:row r="70" ht="19" customHeight="1">
      <x:c r="A70" s="90" t="n">
        <x:f>MONATSBUDGET!$A$10</x:f>
        <x:v>46296</x:v>
      </x:c>
      <x:c r="B70" t="n">
        <x:f>11</x:f>
        <x:v>11</x:v>
      </x:c>
      <x:c r="C70" t="str">
        <x:f>IF($N$19="","",$N$19)</x:f>
      </x:c>
      <x:c r="D70" s="88" t="str">
        <x:f>IF(C70="","",I50)</x:f>
      </x:c>
      <x:c r="E70" s="88" t="str">
        <x:f>IF(C70="","",ROUND(D70*$P$19/12,2))</x:f>
      </x:c>
      <x:c r="F70" s="88" t="str">
        <x:f>IF(C70="","",MIN(D70+E70,$Q$19))</x:f>
      </x:c>
      <x:c r="G70" s="88" t="str">
        <x:f>IF(C70="","",MIN(MAX(0,D70+E70-F70),SUMIFS(SONDERZAHLUNGEN!$E$9:$E$128,SONDERZAHLUNGEN!$B$9:$B$128,C70,SONDERZAHLUNGEN!$C$9:$C$128,A70,SONDERZAHLUNGEN!$H$9:$H$128,"OK",SONDERZAHLUNGEN!$F$9:$F$128,"Ja")))</x:f>
      </x:c>
      <x:c r="H70" s="88" t="str">
        <x:f>IF(C70="","",MIN(MAX(0,D70+E70-F70-G70),MAX(0,IF(MONATSBUDGET!$C$10="",0,MONATSBUDGET!$C$10)-SUM(F60:F79)-SUM(H60:H69))))</x:f>
      </x:c>
      <x:c r="I70" s="88" t="str">
        <x:f>IF(C70="","",MAX(0,ROUND(D70+E70-F70-G70-H70,2)))</x:f>
      </x:c>
      <x:c r="J70" s="88" t="str">
        <x:f>IF(C70="","",F70+G70+H70)</x:f>
      </x:c>
      <x:c r="K70" s="88" t="str">
        <x:f>IF(C70="","",MAX(0,SUMIFS(SONDERZAHLUNGEN!$E$9:$E$128,SONDERZAHLUNGEN!$B$9:$B$128,C70,SONDERZAHLUNGEN!$C$9:$C$128,A70,SONDERZAHLUNGEN!$H$9:$H$128,"OK",SONDERZAHLUNGEN!$F$9:$F$128,"Ja")-G70))</x:f>
      </x:c>
    </x:row>
    <x:row r="71" ht="19" customHeight="1">
      <x:c r="A71" s="90" t="n">
        <x:f>MONATSBUDGET!$A$10</x:f>
        <x:v>46296</x:v>
      </x:c>
      <x:c r="B71" t="n">
        <x:f>12</x:f>
        <x:v>12</x:v>
      </x:c>
      <x:c r="C71" t="str">
        <x:f>IF($N$20="","",$N$20)</x:f>
      </x:c>
      <x:c r="D71" s="88" t="str">
        <x:f>IF(C71="","",I51)</x:f>
      </x:c>
      <x:c r="E71" s="88" t="str">
        <x:f>IF(C71="","",ROUND(D71*$P$20/12,2))</x:f>
      </x:c>
      <x:c r="F71" s="88" t="str">
        <x:f>IF(C71="","",MIN(D71+E71,$Q$20))</x:f>
      </x:c>
      <x:c r="G71" s="88" t="str">
        <x:f>IF(C71="","",MIN(MAX(0,D71+E71-F71),SUMIFS(SONDERZAHLUNGEN!$E$9:$E$128,SONDERZAHLUNGEN!$B$9:$B$128,C71,SONDERZAHLUNGEN!$C$9:$C$128,A71,SONDERZAHLUNGEN!$H$9:$H$128,"OK",SONDERZAHLUNGEN!$F$9:$F$128,"Ja")))</x:f>
      </x:c>
      <x:c r="H71" s="88" t="str">
        <x:f>IF(C71="","",MIN(MAX(0,D71+E71-F71-G71),MAX(0,IF(MONATSBUDGET!$C$10="",0,MONATSBUDGET!$C$10)-SUM(F60:F79)-SUM(H60:H70))))</x:f>
      </x:c>
      <x:c r="I71" s="88" t="str">
        <x:f>IF(C71="","",MAX(0,ROUND(D71+E71-F71-G71-H71,2)))</x:f>
      </x:c>
      <x:c r="J71" s="88" t="str">
        <x:f>IF(C71="","",F71+G71+H71)</x:f>
      </x:c>
      <x:c r="K71" s="88" t="str">
        <x:f>IF(C71="","",MAX(0,SUMIFS(SONDERZAHLUNGEN!$E$9:$E$128,SONDERZAHLUNGEN!$B$9:$B$128,C71,SONDERZAHLUNGEN!$C$9:$C$128,A71,SONDERZAHLUNGEN!$H$9:$H$128,"OK",SONDERZAHLUNGEN!$F$9:$F$128,"Ja")-G71))</x:f>
      </x:c>
    </x:row>
    <x:row r="72" ht="19" customHeight="1">
      <x:c r="A72" s="90" t="n">
        <x:f>MONATSBUDGET!$A$10</x:f>
        <x:v>46296</x:v>
      </x:c>
      <x:c r="B72" t="n">
        <x:f>13</x:f>
        <x:v>13</x:v>
      </x:c>
      <x:c r="C72" t="str">
        <x:f>IF($N$21="","",$N$21)</x:f>
      </x:c>
      <x:c r="D72" s="88" t="str">
        <x:f>IF(C72="","",I52)</x:f>
      </x:c>
      <x:c r="E72" s="88" t="str">
        <x:f>IF(C72="","",ROUND(D72*$P$21/12,2))</x:f>
      </x:c>
      <x:c r="F72" s="88" t="str">
        <x:f>IF(C72="","",MIN(D72+E72,$Q$21))</x:f>
      </x:c>
      <x:c r="G72" s="88" t="str">
        <x:f>IF(C72="","",MIN(MAX(0,D72+E72-F72),SUMIFS(SONDERZAHLUNGEN!$E$9:$E$128,SONDERZAHLUNGEN!$B$9:$B$128,C72,SONDERZAHLUNGEN!$C$9:$C$128,A72,SONDERZAHLUNGEN!$H$9:$H$128,"OK",SONDERZAHLUNGEN!$F$9:$F$128,"Ja")))</x:f>
      </x:c>
      <x:c r="H72" s="88" t="str">
        <x:f>IF(C72="","",MIN(MAX(0,D72+E72-F72-G72),MAX(0,IF(MONATSBUDGET!$C$10="",0,MONATSBUDGET!$C$10)-SUM(F60:F79)-SUM(H60:H71))))</x:f>
      </x:c>
      <x:c r="I72" s="88" t="str">
        <x:f>IF(C72="","",MAX(0,ROUND(D72+E72-F72-G72-H72,2)))</x:f>
      </x:c>
      <x:c r="J72" s="88" t="str">
        <x:f>IF(C72="","",F72+G72+H72)</x:f>
      </x:c>
      <x:c r="K72" s="88" t="str">
        <x:f>IF(C72="","",MAX(0,SUMIFS(SONDERZAHLUNGEN!$E$9:$E$128,SONDERZAHLUNGEN!$B$9:$B$128,C72,SONDERZAHLUNGEN!$C$9:$C$128,A72,SONDERZAHLUNGEN!$H$9:$H$128,"OK",SONDERZAHLUNGEN!$F$9:$F$128,"Ja")-G72))</x:f>
      </x:c>
    </x:row>
    <x:row r="73" ht="19" customHeight="1">
      <x:c r="A73" s="90" t="n">
        <x:f>MONATSBUDGET!$A$10</x:f>
        <x:v>46296</x:v>
      </x:c>
      <x:c r="B73" t="n">
        <x:f>14</x:f>
        <x:v>14</x:v>
      </x:c>
      <x:c r="C73" t="str">
        <x:f>IF($N$22="","",$N$22)</x:f>
      </x:c>
      <x:c r="D73" s="88" t="str">
        <x:f>IF(C73="","",I53)</x:f>
      </x:c>
      <x:c r="E73" s="88" t="str">
        <x:f>IF(C73="","",ROUND(D73*$P$22/12,2))</x:f>
      </x:c>
      <x:c r="F73" s="88" t="str">
        <x:f>IF(C73="","",MIN(D73+E73,$Q$22))</x:f>
      </x:c>
      <x:c r="G73" s="88" t="str">
        <x:f>IF(C73="","",MIN(MAX(0,D73+E73-F73),SUMIFS(SONDERZAHLUNGEN!$E$9:$E$128,SONDERZAHLUNGEN!$B$9:$B$128,C73,SONDERZAHLUNGEN!$C$9:$C$128,A73,SONDERZAHLUNGEN!$H$9:$H$128,"OK",SONDERZAHLUNGEN!$F$9:$F$128,"Ja")))</x:f>
      </x:c>
      <x:c r="H73" s="88" t="str">
        <x:f>IF(C73="","",MIN(MAX(0,D73+E73-F73-G73),MAX(0,IF(MONATSBUDGET!$C$10="",0,MONATSBUDGET!$C$10)-SUM(F60:F79)-SUM(H60:H72))))</x:f>
      </x:c>
      <x:c r="I73" s="88" t="str">
        <x:f>IF(C73="","",MAX(0,ROUND(D73+E73-F73-G73-H73,2)))</x:f>
      </x:c>
      <x:c r="J73" s="88" t="str">
        <x:f>IF(C73="","",F73+G73+H73)</x:f>
      </x:c>
      <x:c r="K73" s="88" t="str">
        <x:f>IF(C73="","",MAX(0,SUMIFS(SONDERZAHLUNGEN!$E$9:$E$128,SONDERZAHLUNGEN!$B$9:$B$128,C73,SONDERZAHLUNGEN!$C$9:$C$128,A73,SONDERZAHLUNGEN!$H$9:$H$128,"OK",SONDERZAHLUNGEN!$F$9:$F$128,"Ja")-G73))</x:f>
      </x:c>
    </x:row>
    <x:row r="74" ht="19" customHeight="1">
      <x:c r="A74" s="90" t="n">
        <x:f>MONATSBUDGET!$A$10</x:f>
        <x:v>46296</x:v>
      </x:c>
      <x:c r="B74" t="n">
        <x:f>15</x:f>
        <x:v>15</x:v>
      </x:c>
      <x:c r="C74" t="str">
        <x:f>IF($N$23="","",$N$23)</x:f>
      </x:c>
      <x:c r="D74" s="88" t="str">
        <x:f>IF(C74="","",I54)</x:f>
      </x:c>
      <x:c r="E74" s="88" t="str">
        <x:f>IF(C74="","",ROUND(D74*$P$23/12,2))</x:f>
      </x:c>
      <x:c r="F74" s="88" t="str">
        <x:f>IF(C74="","",MIN(D74+E74,$Q$23))</x:f>
      </x:c>
      <x:c r="G74" s="88" t="str">
        <x:f>IF(C74="","",MIN(MAX(0,D74+E74-F74),SUMIFS(SONDERZAHLUNGEN!$E$9:$E$128,SONDERZAHLUNGEN!$B$9:$B$128,C74,SONDERZAHLUNGEN!$C$9:$C$128,A74,SONDERZAHLUNGEN!$H$9:$H$128,"OK",SONDERZAHLUNGEN!$F$9:$F$128,"Ja")))</x:f>
      </x:c>
      <x:c r="H74" s="88" t="str">
        <x:f>IF(C74="","",MIN(MAX(0,D74+E74-F74-G74),MAX(0,IF(MONATSBUDGET!$C$10="",0,MONATSBUDGET!$C$10)-SUM(F60:F79)-SUM(H60:H73))))</x:f>
      </x:c>
      <x:c r="I74" s="88" t="str">
        <x:f>IF(C74="","",MAX(0,ROUND(D74+E74-F74-G74-H74,2)))</x:f>
      </x:c>
      <x:c r="J74" s="88" t="str">
        <x:f>IF(C74="","",F74+G74+H74)</x:f>
      </x:c>
      <x:c r="K74" s="88" t="str">
        <x:f>IF(C74="","",MAX(0,SUMIFS(SONDERZAHLUNGEN!$E$9:$E$128,SONDERZAHLUNGEN!$B$9:$B$128,C74,SONDERZAHLUNGEN!$C$9:$C$128,A74,SONDERZAHLUNGEN!$H$9:$H$128,"OK",SONDERZAHLUNGEN!$F$9:$F$128,"Ja")-G74))</x:f>
      </x:c>
    </x:row>
    <x:row r="75" ht="19" customHeight="1">
      <x:c r="A75" s="90" t="n">
        <x:f>MONATSBUDGET!$A$10</x:f>
        <x:v>46296</x:v>
      </x:c>
      <x:c r="B75" t="n">
        <x:f>16</x:f>
        <x:v>16</x:v>
      </x:c>
      <x:c r="C75" t="str">
        <x:f>IF($N$24="","",$N$24)</x:f>
      </x:c>
      <x:c r="D75" s="88" t="str">
        <x:f>IF(C75="","",I55)</x:f>
      </x:c>
      <x:c r="E75" s="88" t="str">
        <x:f>IF(C75="","",ROUND(D75*$P$24/12,2))</x:f>
      </x:c>
      <x:c r="F75" s="88" t="str">
        <x:f>IF(C75="","",MIN(D75+E75,$Q$24))</x:f>
      </x:c>
      <x:c r="G75" s="88" t="str">
        <x:f>IF(C75="","",MIN(MAX(0,D75+E75-F75),SUMIFS(SONDERZAHLUNGEN!$E$9:$E$128,SONDERZAHLUNGEN!$B$9:$B$128,C75,SONDERZAHLUNGEN!$C$9:$C$128,A75,SONDERZAHLUNGEN!$H$9:$H$128,"OK",SONDERZAHLUNGEN!$F$9:$F$128,"Ja")))</x:f>
      </x:c>
      <x:c r="H75" s="88" t="str">
        <x:f>IF(C75="","",MIN(MAX(0,D75+E75-F75-G75),MAX(0,IF(MONATSBUDGET!$C$10="",0,MONATSBUDGET!$C$10)-SUM(F60:F79)-SUM(H60:H74))))</x:f>
      </x:c>
      <x:c r="I75" s="88" t="str">
        <x:f>IF(C75="","",MAX(0,ROUND(D75+E75-F75-G75-H75,2)))</x:f>
      </x:c>
      <x:c r="J75" s="88" t="str">
        <x:f>IF(C75="","",F75+G75+H75)</x:f>
      </x:c>
      <x:c r="K75" s="88" t="str">
        <x:f>IF(C75="","",MAX(0,SUMIFS(SONDERZAHLUNGEN!$E$9:$E$128,SONDERZAHLUNGEN!$B$9:$B$128,C75,SONDERZAHLUNGEN!$C$9:$C$128,A75,SONDERZAHLUNGEN!$H$9:$H$128,"OK",SONDERZAHLUNGEN!$F$9:$F$128,"Ja")-G75))</x:f>
      </x:c>
    </x:row>
    <x:row r="76" ht="19" customHeight="1">
      <x:c r="A76" s="90" t="n">
        <x:f>MONATSBUDGET!$A$10</x:f>
        <x:v>46296</x:v>
      </x:c>
      <x:c r="B76" t="n">
        <x:f>17</x:f>
        <x:v>17</x:v>
      </x:c>
      <x:c r="C76" t="str">
        <x:f>IF($N$25="","",$N$25)</x:f>
      </x:c>
      <x:c r="D76" s="88" t="str">
        <x:f>IF(C76="","",I56)</x:f>
      </x:c>
      <x:c r="E76" s="88" t="str">
        <x:f>IF(C76="","",ROUND(D76*$P$25/12,2))</x:f>
      </x:c>
      <x:c r="F76" s="88" t="str">
        <x:f>IF(C76="","",MIN(D76+E76,$Q$25))</x:f>
      </x:c>
      <x:c r="G76" s="88" t="str">
        <x:f>IF(C76="","",MIN(MAX(0,D76+E76-F76),SUMIFS(SONDERZAHLUNGEN!$E$9:$E$128,SONDERZAHLUNGEN!$B$9:$B$128,C76,SONDERZAHLUNGEN!$C$9:$C$128,A76,SONDERZAHLUNGEN!$H$9:$H$128,"OK",SONDERZAHLUNGEN!$F$9:$F$128,"Ja")))</x:f>
      </x:c>
      <x:c r="H76" s="88" t="str">
        <x:f>IF(C76="","",MIN(MAX(0,D76+E76-F76-G76),MAX(0,IF(MONATSBUDGET!$C$10="",0,MONATSBUDGET!$C$10)-SUM(F60:F79)-SUM(H60:H75))))</x:f>
      </x:c>
      <x:c r="I76" s="88" t="str">
        <x:f>IF(C76="","",MAX(0,ROUND(D76+E76-F76-G76-H76,2)))</x:f>
      </x:c>
      <x:c r="J76" s="88" t="str">
        <x:f>IF(C76="","",F76+G76+H76)</x:f>
      </x:c>
      <x:c r="K76" s="88" t="str">
        <x:f>IF(C76="","",MAX(0,SUMIFS(SONDERZAHLUNGEN!$E$9:$E$128,SONDERZAHLUNGEN!$B$9:$B$128,C76,SONDERZAHLUNGEN!$C$9:$C$128,A76,SONDERZAHLUNGEN!$H$9:$H$128,"OK",SONDERZAHLUNGEN!$F$9:$F$128,"Ja")-G76))</x:f>
      </x:c>
    </x:row>
    <x:row r="77" ht="19" customHeight="1">
      <x:c r="A77" s="90" t="n">
        <x:f>MONATSBUDGET!$A$10</x:f>
        <x:v>46296</x:v>
      </x:c>
      <x:c r="B77" t="n">
        <x:f>18</x:f>
        <x:v>18</x:v>
      </x:c>
      <x:c r="C77" t="str">
        <x:f>IF($N$26="","",$N$26)</x:f>
      </x:c>
      <x:c r="D77" s="88" t="str">
        <x:f>IF(C77="","",I57)</x:f>
      </x:c>
      <x:c r="E77" s="88" t="str">
        <x:f>IF(C77="","",ROUND(D77*$P$26/12,2))</x:f>
      </x:c>
      <x:c r="F77" s="88" t="str">
        <x:f>IF(C77="","",MIN(D77+E77,$Q$26))</x:f>
      </x:c>
      <x:c r="G77" s="88" t="str">
        <x:f>IF(C77="","",MIN(MAX(0,D77+E77-F77),SUMIFS(SONDERZAHLUNGEN!$E$9:$E$128,SONDERZAHLUNGEN!$B$9:$B$128,C77,SONDERZAHLUNGEN!$C$9:$C$128,A77,SONDERZAHLUNGEN!$H$9:$H$128,"OK",SONDERZAHLUNGEN!$F$9:$F$128,"Ja")))</x:f>
      </x:c>
      <x:c r="H77" s="88" t="str">
        <x:f>IF(C77="","",MIN(MAX(0,D77+E77-F77-G77),MAX(0,IF(MONATSBUDGET!$C$10="",0,MONATSBUDGET!$C$10)-SUM(F60:F79)-SUM(H60:H76))))</x:f>
      </x:c>
      <x:c r="I77" s="88" t="str">
        <x:f>IF(C77="","",MAX(0,ROUND(D77+E77-F77-G77-H77,2)))</x:f>
      </x:c>
      <x:c r="J77" s="88" t="str">
        <x:f>IF(C77="","",F77+G77+H77)</x:f>
      </x:c>
      <x:c r="K77" s="88" t="str">
        <x:f>IF(C77="","",MAX(0,SUMIFS(SONDERZAHLUNGEN!$E$9:$E$128,SONDERZAHLUNGEN!$B$9:$B$128,C77,SONDERZAHLUNGEN!$C$9:$C$128,A77,SONDERZAHLUNGEN!$H$9:$H$128,"OK",SONDERZAHLUNGEN!$F$9:$F$128,"Ja")-G77))</x:f>
      </x:c>
    </x:row>
    <x:row r="78" ht="19" customHeight="1">
      <x:c r="A78" s="90" t="n">
        <x:f>MONATSBUDGET!$A$10</x:f>
        <x:v>46296</x:v>
      </x:c>
      <x:c r="B78" t="n">
        <x:f>19</x:f>
        <x:v>19</x:v>
      </x:c>
      <x:c r="C78" t="str">
        <x:f>IF($N$27="","",$N$27)</x:f>
      </x:c>
      <x:c r="D78" s="88" t="str">
        <x:f>IF(C78="","",I58)</x:f>
      </x:c>
      <x:c r="E78" s="88" t="str">
        <x:f>IF(C78="","",ROUND(D78*$P$27/12,2))</x:f>
      </x:c>
      <x:c r="F78" s="88" t="str">
        <x:f>IF(C78="","",MIN(D78+E78,$Q$27))</x:f>
      </x:c>
      <x:c r="G78" s="88" t="str">
        <x:f>IF(C78="","",MIN(MAX(0,D78+E78-F78),SUMIFS(SONDERZAHLUNGEN!$E$9:$E$128,SONDERZAHLUNGEN!$B$9:$B$128,C78,SONDERZAHLUNGEN!$C$9:$C$128,A78,SONDERZAHLUNGEN!$H$9:$H$128,"OK",SONDERZAHLUNGEN!$F$9:$F$128,"Ja")))</x:f>
      </x:c>
      <x:c r="H78" s="88" t="str">
        <x:f>IF(C78="","",MIN(MAX(0,D78+E78-F78-G78),MAX(0,IF(MONATSBUDGET!$C$10="",0,MONATSBUDGET!$C$10)-SUM(F60:F79)-SUM(H60:H77))))</x:f>
      </x:c>
      <x:c r="I78" s="88" t="str">
        <x:f>IF(C78="","",MAX(0,ROUND(D78+E78-F78-G78-H78,2)))</x:f>
      </x:c>
      <x:c r="J78" s="88" t="str">
        <x:f>IF(C78="","",F78+G78+H78)</x:f>
      </x:c>
      <x:c r="K78" s="88" t="str">
        <x:f>IF(C78="","",MAX(0,SUMIFS(SONDERZAHLUNGEN!$E$9:$E$128,SONDERZAHLUNGEN!$B$9:$B$128,C78,SONDERZAHLUNGEN!$C$9:$C$128,A78,SONDERZAHLUNGEN!$H$9:$H$128,"OK",SONDERZAHLUNGEN!$F$9:$F$128,"Ja")-G78))</x:f>
      </x:c>
    </x:row>
    <x:row r="79" ht="19" customHeight="1">
      <x:c r="A79" s="90" t="n">
        <x:f>MONATSBUDGET!$A$10</x:f>
        <x:v>46296</x:v>
      </x:c>
      <x:c r="B79" t="n">
        <x:f>20</x:f>
        <x:v>20</x:v>
      </x:c>
      <x:c r="C79" t="str">
        <x:f>IF($N$28="","",$N$28)</x:f>
      </x:c>
      <x:c r="D79" s="88" t="str">
        <x:f>IF(C79="","",I59)</x:f>
      </x:c>
      <x:c r="E79" s="88" t="str">
        <x:f>IF(C79="","",ROUND(D79*$P$28/12,2))</x:f>
      </x:c>
      <x:c r="F79" s="88" t="str">
        <x:f>IF(C79="","",MIN(D79+E79,$Q$28))</x:f>
      </x:c>
      <x:c r="G79" s="88" t="str">
        <x:f>IF(C79="","",MIN(MAX(0,D79+E79-F79),SUMIFS(SONDERZAHLUNGEN!$E$9:$E$128,SONDERZAHLUNGEN!$B$9:$B$128,C79,SONDERZAHLUNGEN!$C$9:$C$128,A79,SONDERZAHLUNGEN!$H$9:$H$128,"OK",SONDERZAHLUNGEN!$F$9:$F$128,"Ja")))</x:f>
      </x:c>
      <x:c r="H79" s="88" t="str">
        <x:f>IF(C79="","",MIN(MAX(0,D79+E79-F79-G79),MAX(0,IF(MONATSBUDGET!$C$10="",0,MONATSBUDGET!$C$10)-SUM(F60:F79)-SUM(H60:H78))))</x:f>
      </x:c>
      <x:c r="I79" s="88" t="str">
        <x:f>IF(C79="","",MAX(0,ROUND(D79+E79-F79-G79-H79,2)))</x:f>
      </x:c>
      <x:c r="J79" s="88" t="str">
        <x:f>IF(C79="","",F79+G79+H79)</x:f>
      </x:c>
      <x:c r="K79" s="88" t="str">
        <x:f>IF(C79="","",MAX(0,SUMIFS(SONDERZAHLUNGEN!$E$9:$E$128,SONDERZAHLUNGEN!$B$9:$B$128,C79,SONDERZAHLUNGEN!$C$9:$C$128,A79,SONDERZAHLUNGEN!$H$9:$H$128,"OK",SONDERZAHLUNGEN!$F$9:$F$128,"Ja")-G79))</x:f>
      </x:c>
    </x:row>
    <x:row r="80" ht="19" customHeight="1">
      <x:c r="A80" s="90" t="n">
        <x:f>MONATSBUDGET!$A$11</x:f>
        <x:v>46327</x:v>
      </x:c>
      <x:c r="B80" t="n">
        <x:f>1</x:f>
        <x:v>1</x:v>
      </x:c>
      <x:c r="C80" t="str">
        <x:f>IF($N$9="","",$N$9)</x:f>
      </x:c>
      <x:c r="D80" s="88" t="str">
        <x:f>IF(C80="","",I60)</x:f>
      </x:c>
      <x:c r="E80" s="88" t="str">
        <x:f>IF(C80="","",ROUND(D80*$P$9/12,2))</x:f>
      </x:c>
      <x:c r="F80" s="88" t="str">
        <x:f>IF(C80="","",MIN(D80+E80,$Q$9))</x:f>
      </x:c>
      <x:c r="G80" s="88" t="str">
        <x:f>IF(C80="","",MIN(MAX(0,D80+E80-F80),SUMIFS(SONDERZAHLUNGEN!$E$9:$E$128,SONDERZAHLUNGEN!$B$9:$B$128,C80,SONDERZAHLUNGEN!$C$9:$C$128,A80,SONDERZAHLUNGEN!$H$9:$H$128,"OK",SONDERZAHLUNGEN!$F$9:$F$128,"Ja")))</x:f>
      </x:c>
      <x:c r="H80" s="88" t="str">
        <x:f>IF(C80="","",MIN(MAX(0,D80+E80-F80-G80),MAX(0,IF(MONATSBUDGET!$C$11="",0,MONATSBUDGET!$C$11)-SUM(F80:F99)-0)))</x:f>
      </x:c>
      <x:c r="I80" s="88" t="str">
        <x:f>IF(C80="","",MAX(0,ROUND(D80+E80-F80-G80-H80,2)))</x:f>
      </x:c>
      <x:c r="J80" s="88" t="str">
        <x:f>IF(C80="","",F80+G80+H80)</x:f>
      </x:c>
      <x:c r="K80" s="88" t="str">
        <x:f>IF(C80="","",MAX(0,SUMIFS(SONDERZAHLUNGEN!$E$9:$E$128,SONDERZAHLUNGEN!$B$9:$B$128,C80,SONDERZAHLUNGEN!$C$9:$C$128,A80,SONDERZAHLUNGEN!$H$9:$H$128,"OK",SONDERZAHLUNGEN!$F$9:$F$128,"Ja")-G80))</x:f>
      </x:c>
    </x:row>
    <x:row r="81" ht="19" customHeight="1">
      <x:c r="A81" s="90" t="n">
        <x:f>MONATSBUDGET!$A$11</x:f>
        <x:v>46327</x:v>
      </x:c>
      <x:c r="B81" t="n">
        <x:f>2</x:f>
        <x:v>2</x:v>
      </x:c>
      <x:c r="C81" t="str">
        <x:f>IF($N$10="","",$N$10)</x:f>
      </x:c>
      <x:c r="D81" s="88" t="str">
        <x:f>IF(C81="","",I61)</x:f>
      </x:c>
      <x:c r="E81" s="88" t="str">
        <x:f>IF(C81="","",ROUND(D81*$P$10/12,2))</x:f>
      </x:c>
      <x:c r="F81" s="88" t="str">
        <x:f>IF(C81="","",MIN(D81+E81,$Q$10))</x:f>
      </x:c>
      <x:c r="G81" s="88" t="str">
        <x:f>IF(C81="","",MIN(MAX(0,D81+E81-F81),SUMIFS(SONDERZAHLUNGEN!$E$9:$E$128,SONDERZAHLUNGEN!$B$9:$B$128,C81,SONDERZAHLUNGEN!$C$9:$C$128,A81,SONDERZAHLUNGEN!$H$9:$H$128,"OK",SONDERZAHLUNGEN!$F$9:$F$128,"Ja")))</x:f>
      </x:c>
      <x:c r="H81" s="88" t="str">
        <x:f>IF(C81="","",MIN(MAX(0,D81+E81-F81-G81),MAX(0,IF(MONATSBUDGET!$C$11="",0,MONATSBUDGET!$C$11)-SUM(F80:F99)-SUM(H80:H80))))</x:f>
      </x:c>
      <x:c r="I81" s="88" t="str">
        <x:f>IF(C81="","",MAX(0,ROUND(D81+E81-F81-G81-H81,2)))</x:f>
      </x:c>
      <x:c r="J81" s="88" t="str">
        <x:f>IF(C81="","",F81+G81+H81)</x:f>
      </x:c>
      <x:c r="K81" s="88" t="str">
        <x:f>IF(C81="","",MAX(0,SUMIFS(SONDERZAHLUNGEN!$E$9:$E$128,SONDERZAHLUNGEN!$B$9:$B$128,C81,SONDERZAHLUNGEN!$C$9:$C$128,A81,SONDERZAHLUNGEN!$H$9:$H$128,"OK",SONDERZAHLUNGEN!$F$9:$F$128,"Ja")-G81))</x:f>
      </x:c>
    </x:row>
    <x:row r="82" ht="19" customHeight="1">
      <x:c r="A82" s="90" t="n">
        <x:f>MONATSBUDGET!$A$11</x:f>
        <x:v>46327</x:v>
      </x:c>
      <x:c r="B82" t="n">
        <x:f>3</x:f>
        <x:v>3</x:v>
      </x:c>
      <x:c r="C82" t="str">
        <x:f>IF($N$11="","",$N$11)</x:f>
      </x:c>
      <x:c r="D82" s="88" t="str">
        <x:f>IF(C82="","",I62)</x:f>
      </x:c>
      <x:c r="E82" s="88" t="str">
        <x:f>IF(C82="","",ROUND(D82*$P$11/12,2))</x:f>
      </x:c>
      <x:c r="F82" s="88" t="str">
        <x:f>IF(C82="","",MIN(D82+E82,$Q$11))</x:f>
      </x:c>
      <x:c r="G82" s="88" t="str">
        <x:f>IF(C82="","",MIN(MAX(0,D82+E82-F82),SUMIFS(SONDERZAHLUNGEN!$E$9:$E$128,SONDERZAHLUNGEN!$B$9:$B$128,C82,SONDERZAHLUNGEN!$C$9:$C$128,A82,SONDERZAHLUNGEN!$H$9:$H$128,"OK",SONDERZAHLUNGEN!$F$9:$F$128,"Ja")))</x:f>
      </x:c>
      <x:c r="H82" s="88" t="str">
        <x:f>IF(C82="","",MIN(MAX(0,D82+E82-F82-G82),MAX(0,IF(MONATSBUDGET!$C$11="",0,MONATSBUDGET!$C$11)-SUM(F80:F99)-SUM(H80:H81))))</x:f>
      </x:c>
      <x:c r="I82" s="88" t="str">
        <x:f>IF(C82="","",MAX(0,ROUND(D82+E82-F82-G82-H82,2)))</x:f>
      </x:c>
      <x:c r="J82" s="88" t="str">
        <x:f>IF(C82="","",F82+G82+H82)</x:f>
      </x:c>
      <x:c r="K82" s="88" t="str">
        <x:f>IF(C82="","",MAX(0,SUMIFS(SONDERZAHLUNGEN!$E$9:$E$128,SONDERZAHLUNGEN!$B$9:$B$128,C82,SONDERZAHLUNGEN!$C$9:$C$128,A82,SONDERZAHLUNGEN!$H$9:$H$128,"OK",SONDERZAHLUNGEN!$F$9:$F$128,"Ja")-G82))</x:f>
      </x:c>
    </x:row>
    <x:row r="83" ht="19" customHeight="1">
      <x:c r="A83" s="90" t="n">
        <x:f>MONATSBUDGET!$A$11</x:f>
        <x:v>46327</x:v>
      </x:c>
      <x:c r="B83" t="n">
        <x:f>4</x:f>
        <x:v>4</x:v>
      </x:c>
      <x:c r="C83" t="str">
        <x:f>IF($N$12="","",$N$12)</x:f>
      </x:c>
      <x:c r="D83" s="88" t="str">
        <x:f>IF(C83="","",I63)</x:f>
      </x:c>
      <x:c r="E83" s="88" t="str">
        <x:f>IF(C83="","",ROUND(D83*$P$12/12,2))</x:f>
      </x:c>
      <x:c r="F83" s="88" t="str">
        <x:f>IF(C83="","",MIN(D83+E83,$Q$12))</x:f>
      </x:c>
      <x:c r="G83" s="88" t="str">
        <x:f>IF(C83="","",MIN(MAX(0,D83+E83-F83),SUMIFS(SONDERZAHLUNGEN!$E$9:$E$128,SONDERZAHLUNGEN!$B$9:$B$128,C83,SONDERZAHLUNGEN!$C$9:$C$128,A83,SONDERZAHLUNGEN!$H$9:$H$128,"OK",SONDERZAHLUNGEN!$F$9:$F$128,"Ja")))</x:f>
      </x:c>
      <x:c r="H83" s="88" t="str">
        <x:f>IF(C83="","",MIN(MAX(0,D83+E83-F83-G83),MAX(0,IF(MONATSBUDGET!$C$11="",0,MONATSBUDGET!$C$11)-SUM(F80:F99)-SUM(H80:H82))))</x:f>
      </x:c>
      <x:c r="I83" s="88" t="str">
        <x:f>IF(C83="","",MAX(0,ROUND(D83+E83-F83-G83-H83,2)))</x:f>
      </x:c>
      <x:c r="J83" s="88" t="str">
        <x:f>IF(C83="","",F83+G83+H83)</x:f>
      </x:c>
      <x:c r="K83" s="88" t="str">
        <x:f>IF(C83="","",MAX(0,SUMIFS(SONDERZAHLUNGEN!$E$9:$E$128,SONDERZAHLUNGEN!$B$9:$B$128,C83,SONDERZAHLUNGEN!$C$9:$C$128,A83,SONDERZAHLUNGEN!$H$9:$H$128,"OK",SONDERZAHLUNGEN!$F$9:$F$128,"Ja")-G83))</x:f>
      </x:c>
    </x:row>
    <x:row r="84" ht="19" customHeight="1">
      <x:c r="A84" s="90" t="n">
        <x:f>MONATSBUDGET!$A$11</x:f>
        <x:v>46327</x:v>
      </x:c>
      <x:c r="B84" t="n">
        <x:f>5</x:f>
        <x:v>5</x:v>
      </x:c>
      <x:c r="C84" t="str">
        <x:f>IF($N$13="","",$N$13)</x:f>
      </x:c>
      <x:c r="D84" s="88" t="str">
        <x:f>IF(C84="","",I64)</x:f>
      </x:c>
      <x:c r="E84" s="88" t="str">
        <x:f>IF(C84="","",ROUND(D84*$P$13/12,2))</x:f>
      </x:c>
      <x:c r="F84" s="88" t="str">
        <x:f>IF(C84="","",MIN(D84+E84,$Q$13))</x:f>
      </x:c>
      <x:c r="G84" s="88" t="str">
        <x:f>IF(C84="","",MIN(MAX(0,D84+E84-F84),SUMIFS(SONDERZAHLUNGEN!$E$9:$E$128,SONDERZAHLUNGEN!$B$9:$B$128,C84,SONDERZAHLUNGEN!$C$9:$C$128,A84,SONDERZAHLUNGEN!$H$9:$H$128,"OK",SONDERZAHLUNGEN!$F$9:$F$128,"Ja")))</x:f>
      </x:c>
      <x:c r="H84" s="88" t="str">
        <x:f>IF(C84="","",MIN(MAX(0,D84+E84-F84-G84),MAX(0,IF(MONATSBUDGET!$C$11="",0,MONATSBUDGET!$C$11)-SUM(F80:F99)-SUM(H80:H83))))</x:f>
      </x:c>
      <x:c r="I84" s="88" t="str">
        <x:f>IF(C84="","",MAX(0,ROUND(D84+E84-F84-G84-H84,2)))</x:f>
      </x:c>
      <x:c r="J84" s="88" t="str">
        <x:f>IF(C84="","",F84+G84+H84)</x:f>
      </x:c>
      <x:c r="K84" s="88" t="str">
        <x:f>IF(C84="","",MAX(0,SUMIFS(SONDERZAHLUNGEN!$E$9:$E$128,SONDERZAHLUNGEN!$B$9:$B$128,C84,SONDERZAHLUNGEN!$C$9:$C$128,A84,SONDERZAHLUNGEN!$H$9:$H$128,"OK",SONDERZAHLUNGEN!$F$9:$F$128,"Ja")-G84))</x:f>
      </x:c>
    </x:row>
    <x:row r="85" ht="19" customHeight="1">
      <x:c r="A85" s="90" t="n">
        <x:f>MONATSBUDGET!$A$11</x:f>
        <x:v>46327</x:v>
      </x:c>
      <x:c r="B85" t="n">
        <x:f>6</x:f>
        <x:v>6</x:v>
      </x:c>
      <x:c r="C85" t="str">
        <x:f>IF($N$14="","",$N$14)</x:f>
      </x:c>
      <x:c r="D85" s="88" t="str">
        <x:f>IF(C85="","",I65)</x:f>
      </x:c>
      <x:c r="E85" s="88" t="str">
        <x:f>IF(C85="","",ROUND(D85*$P$14/12,2))</x:f>
      </x:c>
      <x:c r="F85" s="88" t="str">
        <x:f>IF(C85="","",MIN(D85+E85,$Q$14))</x:f>
      </x:c>
      <x:c r="G85" s="88" t="str">
        <x:f>IF(C85="","",MIN(MAX(0,D85+E85-F85),SUMIFS(SONDERZAHLUNGEN!$E$9:$E$128,SONDERZAHLUNGEN!$B$9:$B$128,C85,SONDERZAHLUNGEN!$C$9:$C$128,A85,SONDERZAHLUNGEN!$H$9:$H$128,"OK",SONDERZAHLUNGEN!$F$9:$F$128,"Ja")))</x:f>
      </x:c>
      <x:c r="H85" s="88" t="str">
        <x:f>IF(C85="","",MIN(MAX(0,D85+E85-F85-G85),MAX(0,IF(MONATSBUDGET!$C$11="",0,MONATSBUDGET!$C$11)-SUM(F80:F99)-SUM(H80:H84))))</x:f>
      </x:c>
      <x:c r="I85" s="88" t="str">
        <x:f>IF(C85="","",MAX(0,ROUND(D85+E85-F85-G85-H85,2)))</x:f>
      </x:c>
      <x:c r="J85" s="88" t="str">
        <x:f>IF(C85="","",F85+G85+H85)</x:f>
      </x:c>
      <x:c r="K85" s="88" t="str">
        <x:f>IF(C85="","",MAX(0,SUMIFS(SONDERZAHLUNGEN!$E$9:$E$128,SONDERZAHLUNGEN!$B$9:$B$128,C85,SONDERZAHLUNGEN!$C$9:$C$128,A85,SONDERZAHLUNGEN!$H$9:$H$128,"OK",SONDERZAHLUNGEN!$F$9:$F$128,"Ja")-G85))</x:f>
      </x:c>
    </x:row>
    <x:row r="86" ht="19" customHeight="1">
      <x:c r="A86" s="90" t="n">
        <x:f>MONATSBUDGET!$A$11</x:f>
        <x:v>46327</x:v>
      </x:c>
      <x:c r="B86" t="n">
        <x:f>7</x:f>
        <x:v>7</x:v>
      </x:c>
      <x:c r="C86" t="str">
        <x:f>IF($N$15="","",$N$15)</x:f>
      </x:c>
      <x:c r="D86" s="88" t="str">
        <x:f>IF(C86="","",I66)</x:f>
      </x:c>
      <x:c r="E86" s="88" t="str">
        <x:f>IF(C86="","",ROUND(D86*$P$15/12,2))</x:f>
      </x:c>
      <x:c r="F86" s="88" t="str">
        <x:f>IF(C86="","",MIN(D86+E86,$Q$15))</x:f>
      </x:c>
      <x:c r="G86" s="88" t="str">
        <x:f>IF(C86="","",MIN(MAX(0,D86+E86-F86),SUMIFS(SONDERZAHLUNGEN!$E$9:$E$128,SONDERZAHLUNGEN!$B$9:$B$128,C86,SONDERZAHLUNGEN!$C$9:$C$128,A86,SONDERZAHLUNGEN!$H$9:$H$128,"OK",SONDERZAHLUNGEN!$F$9:$F$128,"Ja")))</x:f>
      </x:c>
      <x:c r="H86" s="88" t="str">
        <x:f>IF(C86="","",MIN(MAX(0,D86+E86-F86-G86),MAX(0,IF(MONATSBUDGET!$C$11="",0,MONATSBUDGET!$C$11)-SUM(F80:F99)-SUM(H80:H85))))</x:f>
      </x:c>
      <x:c r="I86" s="88" t="str">
        <x:f>IF(C86="","",MAX(0,ROUND(D86+E86-F86-G86-H86,2)))</x:f>
      </x:c>
      <x:c r="J86" s="88" t="str">
        <x:f>IF(C86="","",F86+G86+H86)</x:f>
      </x:c>
      <x:c r="K86" s="88" t="str">
        <x:f>IF(C86="","",MAX(0,SUMIFS(SONDERZAHLUNGEN!$E$9:$E$128,SONDERZAHLUNGEN!$B$9:$B$128,C86,SONDERZAHLUNGEN!$C$9:$C$128,A86,SONDERZAHLUNGEN!$H$9:$H$128,"OK",SONDERZAHLUNGEN!$F$9:$F$128,"Ja")-G86))</x:f>
      </x:c>
    </x:row>
    <x:row r="87" ht="19" customHeight="1">
      <x:c r="A87" s="90" t="n">
        <x:f>MONATSBUDGET!$A$11</x:f>
        <x:v>46327</x:v>
      </x:c>
      <x:c r="B87" t="n">
        <x:f>8</x:f>
        <x:v>8</x:v>
      </x:c>
      <x:c r="C87" t="str">
        <x:f>IF($N$16="","",$N$16)</x:f>
      </x:c>
      <x:c r="D87" s="88" t="str">
        <x:f>IF(C87="","",I67)</x:f>
      </x:c>
      <x:c r="E87" s="88" t="str">
        <x:f>IF(C87="","",ROUND(D87*$P$16/12,2))</x:f>
      </x:c>
      <x:c r="F87" s="88" t="str">
        <x:f>IF(C87="","",MIN(D87+E87,$Q$16))</x:f>
      </x:c>
      <x:c r="G87" s="88" t="str">
        <x:f>IF(C87="","",MIN(MAX(0,D87+E87-F87),SUMIFS(SONDERZAHLUNGEN!$E$9:$E$128,SONDERZAHLUNGEN!$B$9:$B$128,C87,SONDERZAHLUNGEN!$C$9:$C$128,A87,SONDERZAHLUNGEN!$H$9:$H$128,"OK",SONDERZAHLUNGEN!$F$9:$F$128,"Ja")))</x:f>
      </x:c>
      <x:c r="H87" s="88" t="str">
        <x:f>IF(C87="","",MIN(MAX(0,D87+E87-F87-G87),MAX(0,IF(MONATSBUDGET!$C$11="",0,MONATSBUDGET!$C$11)-SUM(F80:F99)-SUM(H80:H86))))</x:f>
      </x:c>
      <x:c r="I87" s="88" t="str">
        <x:f>IF(C87="","",MAX(0,ROUND(D87+E87-F87-G87-H87,2)))</x:f>
      </x:c>
      <x:c r="J87" s="88" t="str">
        <x:f>IF(C87="","",F87+G87+H87)</x:f>
      </x:c>
      <x:c r="K87" s="88" t="str">
        <x:f>IF(C87="","",MAX(0,SUMIFS(SONDERZAHLUNGEN!$E$9:$E$128,SONDERZAHLUNGEN!$B$9:$B$128,C87,SONDERZAHLUNGEN!$C$9:$C$128,A87,SONDERZAHLUNGEN!$H$9:$H$128,"OK",SONDERZAHLUNGEN!$F$9:$F$128,"Ja")-G87))</x:f>
      </x:c>
    </x:row>
    <x:row r="88" ht="19" customHeight="1">
      <x:c r="A88" s="90" t="n">
        <x:f>MONATSBUDGET!$A$11</x:f>
        <x:v>46327</x:v>
      </x:c>
      <x:c r="B88" t="n">
        <x:f>9</x:f>
        <x:v>9</x:v>
      </x:c>
      <x:c r="C88" t="str">
        <x:f>IF($N$17="","",$N$17)</x:f>
      </x:c>
      <x:c r="D88" s="88" t="str">
        <x:f>IF(C88="","",I68)</x:f>
      </x:c>
      <x:c r="E88" s="88" t="str">
        <x:f>IF(C88="","",ROUND(D88*$P$17/12,2))</x:f>
      </x:c>
      <x:c r="F88" s="88" t="str">
        <x:f>IF(C88="","",MIN(D88+E88,$Q$17))</x:f>
      </x:c>
      <x:c r="G88" s="88" t="str">
        <x:f>IF(C88="","",MIN(MAX(0,D88+E88-F88),SUMIFS(SONDERZAHLUNGEN!$E$9:$E$128,SONDERZAHLUNGEN!$B$9:$B$128,C88,SONDERZAHLUNGEN!$C$9:$C$128,A88,SONDERZAHLUNGEN!$H$9:$H$128,"OK",SONDERZAHLUNGEN!$F$9:$F$128,"Ja")))</x:f>
      </x:c>
      <x:c r="H88" s="88" t="str">
        <x:f>IF(C88="","",MIN(MAX(0,D88+E88-F88-G88),MAX(0,IF(MONATSBUDGET!$C$11="",0,MONATSBUDGET!$C$11)-SUM(F80:F99)-SUM(H80:H87))))</x:f>
      </x:c>
      <x:c r="I88" s="88" t="str">
        <x:f>IF(C88="","",MAX(0,ROUND(D88+E88-F88-G88-H88,2)))</x:f>
      </x:c>
      <x:c r="J88" s="88" t="str">
        <x:f>IF(C88="","",F88+G88+H88)</x:f>
      </x:c>
      <x:c r="K88" s="88" t="str">
        <x:f>IF(C88="","",MAX(0,SUMIFS(SONDERZAHLUNGEN!$E$9:$E$128,SONDERZAHLUNGEN!$B$9:$B$128,C88,SONDERZAHLUNGEN!$C$9:$C$128,A88,SONDERZAHLUNGEN!$H$9:$H$128,"OK",SONDERZAHLUNGEN!$F$9:$F$128,"Ja")-G88))</x:f>
      </x:c>
    </x:row>
    <x:row r="89" ht="19" customHeight="1">
      <x:c r="A89" s="90" t="n">
        <x:f>MONATSBUDGET!$A$11</x:f>
        <x:v>46327</x:v>
      </x:c>
      <x:c r="B89" t="n">
        <x:f>10</x:f>
        <x:v>10</x:v>
      </x:c>
      <x:c r="C89" t="str">
        <x:f>IF($N$18="","",$N$18)</x:f>
      </x:c>
      <x:c r="D89" s="88" t="str">
        <x:f>IF(C89="","",I69)</x:f>
      </x:c>
      <x:c r="E89" s="88" t="str">
        <x:f>IF(C89="","",ROUND(D89*$P$18/12,2))</x:f>
      </x:c>
      <x:c r="F89" s="88" t="str">
        <x:f>IF(C89="","",MIN(D89+E89,$Q$18))</x:f>
      </x:c>
      <x:c r="G89" s="88" t="str">
        <x:f>IF(C89="","",MIN(MAX(0,D89+E89-F89),SUMIFS(SONDERZAHLUNGEN!$E$9:$E$128,SONDERZAHLUNGEN!$B$9:$B$128,C89,SONDERZAHLUNGEN!$C$9:$C$128,A89,SONDERZAHLUNGEN!$H$9:$H$128,"OK",SONDERZAHLUNGEN!$F$9:$F$128,"Ja")))</x:f>
      </x:c>
      <x:c r="H89" s="88" t="str">
        <x:f>IF(C89="","",MIN(MAX(0,D89+E89-F89-G89),MAX(0,IF(MONATSBUDGET!$C$11="",0,MONATSBUDGET!$C$11)-SUM(F80:F99)-SUM(H80:H88))))</x:f>
      </x:c>
      <x:c r="I89" s="88" t="str">
        <x:f>IF(C89="","",MAX(0,ROUND(D89+E89-F89-G89-H89,2)))</x:f>
      </x:c>
      <x:c r="J89" s="88" t="str">
        <x:f>IF(C89="","",F89+G89+H89)</x:f>
      </x:c>
      <x:c r="K89" s="88" t="str">
        <x:f>IF(C89="","",MAX(0,SUMIFS(SONDERZAHLUNGEN!$E$9:$E$128,SONDERZAHLUNGEN!$B$9:$B$128,C89,SONDERZAHLUNGEN!$C$9:$C$128,A89,SONDERZAHLUNGEN!$H$9:$H$128,"OK",SONDERZAHLUNGEN!$F$9:$F$128,"Ja")-G89))</x:f>
      </x:c>
    </x:row>
    <x:row r="90" ht="19" customHeight="1">
      <x:c r="A90" s="90" t="n">
        <x:f>MONATSBUDGET!$A$11</x:f>
        <x:v>46327</x:v>
      </x:c>
      <x:c r="B90" t="n">
        <x:f>11</x:f>
        <x:v>11</x:v>
      </x:c>
      <x:c r="C90" t="str">
        <x:f>IF($N$19="","",$N$19)</x:f>
      </x:c>
      <x:c r="D90" s="88" t="str">
        <x:f>IF(C90="","",I70)</x:f>
      </x:c>
      <x:c r="E90" s="88" t="str">
        <x:f>IF(C90="","",ROUND(D90*$P$19/12,2))</x:f>
      </x:c>
      <x:c r="F90" s="88" t="str">
        <x:f>IF(C90="","",MIN(D90+E90,$Q$19))</x:f>
      </x:c>
      <x:c r="G90" s="88" t="str">
        <x:f>IF(C90="","",MIN(MAX(0,D90+E90-F90),SUMIFS(SONDERZAHLUNGEN!$E$9:$E$128,SONDERZAHLUNGEN!$B$9:$B$128,C90,SONDERZAHLUNGEN!$C$9:$C$128,A90,SONDERZAHLUNGEN!$H$9:$H$128,"OK",SONDERZAHLUNGEN!$F$9:$F$128,"Ja")))</x:f>
      </x:c>
      <x:c r="H90" s="88" t="str">
        <x:f>IF(C90="","",MIN(MAX(0,D90+E90-F90-G90),MAX(0,IF(MONATSBUDGET!$C$11="",0,MONATSBUDGET!$C$11)-SUM(F80:F99)-SUM(H80:H89))))</x:f>
      </x:c>
      <x:c r="I90" s="88" t="str">
        <x:f>IF(C90="","",MAX(0,ROUND(D90+E90-F90-G90-H90,2)))</x:f>
      </x:c>
      <x:c r="J90" s="88" t="str">
        <x:f>IF(C90="","",F90+G90+H90)</x:f>
      </x:c>
      <x:c r="K90" s="88" t="str">
        <x:f>IF(C90="","",MAX(0,SUMIFS(SONDERZAHLUNGEN!$E$9:$E$128,SONDERZAHLUNGEN!$B$9:$B$128,C90,SONDERZAHLUNGEN!$C$9:$C$128,A90,SONDERZAHLUNGEN!$H$9:$H$128,"OK",SONDERZAHLUNGEN!$F$9:$F$128,"Ja")-G90))</x:f>
      </x:c>
    </x:row>
    <x:row r="91" ht="19" customHeight="1">
      <x:c r="A91" s="90" t="n">
        <x:f>MONATSBUDGET!$A$11</x:f>
        <x:v>46327</x:v>
      </x:c>
      <x:c r="B91" t="n">
        <x:f>12</x:f>
        <x:v>12</x:v>
      </x:c>
      <x:c r="C91" t="str">
        <x:f>IF($N$20="","",$N$20)</x:f>
      </x:c>
      <x:c r="D91" s="88" t="str">
        <x:f>IF(C91="","",I71)</x:f>
      </x:c>
      <x:c r="E91" s="88" t="str">
        <x:f>IF(C91="","",ROUND(D91*$P$20/12,2))</x:f>
      </x:c>
      <x:c r="F91" s="88" t="str">
        <x:f>IF(C91="","",MIN(D91+E91,$Q$20))</x:f>
      </x:c>
      <x:c r="G91" s="88" t="str">
        <x:f>IF(C91="","",MIN(MAX(0,D91+E91-F91),SUMIFS(SONDERZAHLUNGEN!$E$9:$E$128,SONDERZAHLUNGEN!$B$9:$B$128,C91,SONDERZAHLUNGEN!$C$9:$C$128,A91,SONDERZAHLUNGEN!$H$9:$H$128,"OK",SONDERZAHLUNGEN!$F$9:$F$128,"Ja")))</x:f>
      </x:c>
      <x:c r="H91" s="88" t="str">
        <x:f>IF(C91="","",MIN(MAX(0,D91+E91-F91-G91),MAX(0,IF(MONATSBUDGET!$C$11="",0,MONATSBUDGET!$C$11)-SUM(F80:F99)-SUM(H80:H90))))</x:f>
      </x:c>
      <x:c r="I91" s="88" t="str">
        <x:f>IF(C91="","",MAX(0,ROUND(D91+E91-F91-G91-H91,2)))</x:f>
      </x:c>
      <x:c r="J91" s="88" t="str">
        <x:f>IF(C91="","",F91+G91+H91)</x:f>
      </x:c>
      <x:c r="K91" s="88" t="str">
        <x:f>IF(C91="","",MAX(0,SUMIFS(SONDERZAHLUNGEN!$E$9:$E$128,SONDERZAHLUNGEN!$B$9:$B$128,C91,SONDERZAHLUNGEN!$C$9:$C$128,A91,SONDERZAHLUNGEN!$H$9:$H$128,"OK",SONDERZAHLUNGEN!$F$9:$F$128,"Ja")-G91))</x:f>
      </x:c>
    </x:row>
    <x:row r="92" ht="19" customHeight="1">
      <x:c r="A92" s="90" t="n">
        <x:f>MONATSBUDGET!$A$11</x:f>
        <x:v>46327</x:v>
      </x:c>
      <x:c r="B92" t="n">
        <x:f>13</x:f>
        <x:v>13</x:v>
      </x:c>
      <x:c r="C92" t="str">
        <x:f>IF($N$21="","",$N$21)</x:f>
      </x:c>
      <x:c r="D92" s="88" t="str">
        <x:f>IF(C92="","",I72)</x:f>
      </x:c>
      <x:c r="E92" s="88" t="str">
        <x:f>IF(C92="","",ROUND(D92*$P$21/12,2))</x:f>
      </x:c>
      <x:c r="F92" s="88" t="str">
        <x:f>IF(C92="","",MIN(D92+E92,$Q$21))</x:f>
      </x:c>
      <x:c r="G92" s="88" t="str">
        <x:f>IF(C92="","",MIN(MAX(0,D92+E92-F92),SUMIFS(SONDERZAHLUNGEN!$E$9:$E$128,SONDERZAHLUNGEN!$B$9:$B$128,C92,SONDERZAHLUNGEN!$C$9:$C$128,A92,SONDERZAHLUNGEN!$H$9:$H$128,"OK",SONDERZAHLUNGEN!$F$9:$F$128,"Ja")))</x:f>
      </x:c>
      <x:c r="H92" s="88" t="str">
        <x:f>IF(C92="","",MIN(MAX(0,D92+E92-F92-G92),MAX(0,IF(MONATSBUDGET!$C$11="",0,MONATSBUDGET!$C$11)-SUM(F80:F99)-SUM(H80:H91))))</x:f>
      </x:c>
      <x:c r="I92" s="88" t="str">
        <x:f>IF(C92="","",MAX(0,ROUND(D92+E92-F92-G92-H92,2)))</x:f>
      </x:c>
      <x:c r="J92" s="88" t="str">
        <x:f>IF(C92="","",F92+G92+H92)</x:f>
      </x:c>
      <x:c r="K92" s="88" t="str">
        <x:f>IF(C92="","",MAX(0,SUMIFS(SONDERZAHLUNGEN!$E$9:$E$128,SONDERZAHLUNGEN!$B$9:$B$128,C92,SONDERZAHLUNGEN!$C$9:$C$128,A92,SONDERZAHLUNGEN!$H$9:$H$128,"OK",SONDERZAHLUNGEN!$F$9:$F$128,"Ja")-G92))</x:f>
      </x:c>
    </x:row>
    <x:row r="93" ht="19" customHeight="1">
      <x:c r="A93" s="90" t="n">
        <x:f>MONATSBUDGET!$A$11</x:f>
        <x:v>46327</x:v>
      </x:c>
      <x:c r="B93" t="n">
        <x:f>14</x:f>
        <x:v>14</x:v>
      </x:c>
      <x:c r="C93" t="str">
        <x:f>IF($N$22="","",$N$22)</x:f>
      </x:c>
      <x:c r="D93" s="88" t="str">
        <x:f>IF(C93="","",I73)</x:f>
      </x:c>
      <x:c r="E93" s="88" t="str">
        <x:f>IF(C93="","",ROUND(D93*$P$22/12,2))</x:f>
      </x:c>
      <x:c r="F93" s="88" t="str">
        <x:f>IF(C93="","",MIN(D93+E93,$Q$22))</x:f>
      </x:c>
      <x:c r="G93" s="88" t="str">
        <x:f>IF(C93="","",MIN(MAX(0,D93+E93-F93),SUMIFS(SONDERZAHLUNGEN!$E$9:$E$128,SONDERZAHLUNGEN!$B$9:$B$128,C93,SONDERZAHLUNGEN!$C$9:$C$128,A93,SONDERZAHLUNGEN!$H$9:$H$128,"OK",SONDERZAHLUNGEN!$F$9:$F$128,"Ja")))</x:f>
      </x:c>
      <x:c r="H93" s="88" t="str">
        <x:f>IF(C93="","",MIN(MAX(0,D93+E93-F93-G93),MAX(0,IF(MONATSBUDGET!$C$11="",0,MONATSBUDGET!$C$11)-SUM(F80:F99)-SUM(H80:H92))))</x:f>
      </x:c>
      <x:c r="I93" s="88" t="str">
        <x:f>IF(C93="","",MAX(0,ROUND(D93+E93-F93-G93-H93,2)))</x:f>
      </x:c>
      <x:c r="J93" s="88" t="str">
        <x:f>IF(C93="","",F93+G93+H93)</x:f>
      </x:c>
      <x:c r="K93" s="88" t="str">
        <x:f>IF(C93="","",MAX(0,SUMIFS(SONDERZAHLUNGEN!$E$9:$E$128,SONDERZAHLUNGEN!$B$9:$B$128,C93,SONDERZAHLUNGEN!$C$9:$C$128,A93,SONDERZAHLUNGEN!$H$9:$H$128,"OK",SONDERZAHLUNGEN!$F$9:$F$128,"Ja")-G93))</x:f>
      </x:c>
    </x:row>
    <x:row r="94" ht="19" customHeight="1">
      <x:c r="A94" s="90" t="n">
        <x:f>MONATSBUDGET!$A$11</x:f>
        <x:v>46327</x:v>
      </x:c>
      <x:c r="B94" t="n">
        <x:f>15</x:f>
        <x:v>15</x:v>
      </x:c>
      <x:c r="C94" t="str">
        <x:f>IF($N$23="","",$N$23)</x:f>
      </x:c>
      <x:c r="D94" s="88" t="str">
        <x:f>IF(C94="","",I74)</x:f>
      </x:c>
      <x:c r="E94" s="88" t="str">
        <x:f>IF(C94="","",ROUND(D94*$P$23/12,2))</x:f>
      </x:c>
      <x:c r="F94" s="88" t="str">
        <x:f>IF(C94="","",MIN(D94+E94,$Q$23))</x:f>
      </x:c>
      <x:c r="G94" s="88" t="str">
        <x:f>IF(C94="","",MIN(MAX(0,D94+E94-F94),SUMIFS(SONDERZAHLUNGEN!$E$9:$E$128,SONDERZAHLUNGEN!$B$9:$B$128,C94,SONDERZAHLUNGEN!$C$9:$C$128,A94,SONDERZAHLUNGEN!$H$9:$H$128,"OK",SONDERZAHLUNGEN!$F$9:$F$128,"Ja")))</x:f>
      </x:c>
      <x:c r="H94" s="88" t="str">
        <x:f>IF(C94="","",MIN(MAX(0,D94+E94-F94-G94),MAX(0,IF(MONATSBUDGET!$C$11="",0,MONATSBUDGET!$C$11)-SUM(F80:F99)-SUM(H80:H93))))</x:f>
      </x:c>
      <x:c r="I94" s="88" t="str">
        <x:f>IF(C94="","",MAX(0,ROUND(D94+E94-F94-G94-H94,2)))</x:f>
      </x:c>
      <x:c r="J94" s="88" t="str">
        <x:f>IF(C94="","",F94+G94+H94)</x:f>
      </x:c>
      <x:c r="K94" s="88" t="str">
        <x:f>IF(C94="","",MAX(0,SUMIFS(SONDERZAHLUNGEN!$E$9:$E$128,SONDERZAHLUNGEN!$B$9:$B$128,C94,SONDERZAHLUNGEN!$C$9:$C$128,A94,SONDERZAHLUNGEN!$H$9:$H$128,"OK",SONDERZAHLUNGEN!$F$9:$F$128,"Ja")-G94))</x:f>
      </x:c>
    </x:row>
    <x:row r="95" ht="19" customHeight="1">
      <x:c r="A95" s="90" t="n">
        <x:f>MONATSBUDGET!$A$11</x:f>
        <x:v>46327</x:v>
      </x:c>
      <x:c r="B95" t="n">
        <x:f>16</x:f>
        <x:v>16</x:v>
      </x:c>
      <x:c r="C95" t="str">
        <x:f>IF($N$24="","",$N$24)</x:f>
      </x:c>
      <x:c r="D95" s="88" t="str">
        <x:f>IF(C95="","",I75)</x:f>
      </x:c>
      <x:c r="E95" s="88" t="str">
        <x:f>IF(C95="","",ROUND(D95*$P$24/12,2))</x:f>
      </x:c>
      <x:c r="F95" s="88" t="str">
        <x:f>IF(C95="","",MIN(D95+E95,$Q$24))</x:f>
      </x:c>
      <x:c r="G95" s="88" t="str">
        <x:f>IF(C95="","",MIN(MAX(0,D95+E95-F95),SUMIFS(SONDERZAHLUNGEN!$E$9:$E$128,SONDERZAHLUNGEN!$B$9:$B$128,C95,SONDERZAHLUNGEN!$C$9:$C$128,A95,SONDERZAHLUNGEN!$H$9:$H$128,"OK",SONDERZAHLUNGEN!$F$9:$F$128,"Ja")))</x:f>
      </x:c>
      <x:c r="H95" s="88" t="str">
        <x:f>IF(C95="","",MIN(MAX(0,D95+E95-F95-G95),MAX(0,IF(MONATSBUDGET!$C$11="",0,MONATSBUDGET!$C$11)-SUM(F80:F99)-SUM(H80:H94))))</x:f>
      </x:c>
      <x:c r="I95" s="88" t="str">
        <x:f>IF(C95="","",MAX(0,ROUND(D95+E95-F95-G95-H95,2)))</x:f>
      </x:c>
      <x:c r="J95" s="88" t="str">
        <x:f>IF(C95="","",F95+G95+H95)</x:f>
      </x:c>
      <x:c r="K95" s="88" t="str">
        <x:f>IF(C95="","",MAX(0,SUMIFS(SONDERZAHLUNGEN!$E$9:$E$128,SONDERZAHLUNGEN!$B$9:$B$128,C95,SONDERZAHLUNGEN!$C$9:$C$128,A95,SONDERZAHLUNGEN!$H$9:$H$128,"OK",SONDERZAHLUNGEN!$F$9:$F$128,"Ja")-G95))</x:f>
      </x:c>
    </x:row>
    <x:row r="96" ht="19" customHeight="1">
      <x:c r="A96" s="90" t="n">
        <x:f>MONATSBUDGET!$A$11</x:f>
        <x:v>46327</x:v>
      </x:c>
      <x:c r="B96" t="n">
        <x:f>17</x:f>
        <x:v>17</x:v>
      </x:c>
      <x:c r="C96" t="str">
        <x:f>IF($N$25="","",$N$25)</x:f>
      </x:c>
      <x:c r="D96" s="88" t="str">
        <x:f>IF(C96="","",I76)</x:f>
      </x:c>
      <x:c r="E96" s="88" t="str">
        <x:f>IF(C96="","",ROUND(D96*$P$25/12,2))</x:f>
      </x:c>
      <x:c r="F96" s="88" t="str">
        <x:f>IF(C96="","",MIN(D96+E96,$Q$25))</x:f>
      </x:c>
      <x:c r="G96" s="88" t="str">
        <x:f>IF(C96="","",MIN(MAX(0,D96+E96-F96),SUMIFS(SONDERZAHLUNGEN!$E$9:$E$128,SONDERZAHLUNGEN!$B$9:$B$128,C96,SONDERZAHLUNGEN!$C$9:$C$128,A96,SONDERZAHLUNGEN!$H$9:$H$128,"OK",SONDERZAHLUNGEN!$F$9:$F$128,"Ja")))</x:f>
      </x:c>
      <x:c r="H96" s="88" t="str">
        <x:f>IF(C96="","",MIN(MAX(0,D96+E96-F96-G96),MAX(0,IF(MONATSBUDGET!$C$11="",0,MONATSBUDGET!$C$11)-SUM(F80:F99)-SUM(H80:H95))))</x:f>
      </x:c>
      <x:c r="I96" s="88" t="str">
        <x:f>IF(C96="","",MAX(0,ROUND(D96+E96-F96-G96-H96,2)))</x:f>
      </x:c>
      <x:c r="J96" s="88" t="str">
        <x:f>IF(C96="","",F96+G96+H96)</x:f>
      </x:c>
      <x:c r="K96" s="88" t="str">
        <x:f>IF(C96="","",MAX(0,SUMIFS(SONDERZAHLUNGEN!$E$9:$E$128,SONDERZAHLUNGEN!$B$9:$B$128,C96,SONDERZAHLUNGEN!$C$9:$C$128,A96,SONDERZAHLUNGEN!$H$9:$H$128,"OK",SONDERZAHLUNGEN!$F$9:$F$128,"Ja")-G96))</x:f>
      </x:c>
    </x:row>
    <x:row r="97" ht="19" customHeight="1">
      <x:c r="A97" s="90" t="n">
        <x:f>MONATSBUDGET!$A$11</x:f>
        <x:v>46327</x:v>
      </x:c>
      <x:c r="B97" t="n">
        <x:f>18</x:f>
        <x:v>18</x:v>
      </x:c>
      <x:c r="C97" t="str">
        <x:f>IF($N$26="","",$N$26)</x:f>
      </x:c>
      <x:c r="D97" s="88" t="str">
        <x:f>IF(C97="","",I77)</x:f>
      </x:c>
      <x:c r="E97" s="88" t="str">
        <x:f>IF(C97="","",ROUND(D97*$P$26/12,2))</x:f>
      </x:c>
      <x:c r="F97" s="88" t="str">
        <x:f>IF(C97="","",MIN(D97+E97,$Q$26))</x:f>
      </x:c>
      <x:c r="G97" s="88" t="str">
        <x:f>IF(C97="","",MIN(MAX(0,D97+E97-F97),SUMIFS(SONDERZAHLUNGEN!$E$9:$E$128,SONDERZAHLUNGEN!$B$9:$B$128,C97,SONDERZAHLUNGEN!$C$9:$C$128,A97,SONDERZAHLUNGEN!$H$9:$H$128,"OK",SONDERZAHLUNGEN!$F$9:$F$128,"Ja")))</x:f>
      </x:c>
      <x:c r="H97" s="88" t="str">
        <x:f>IF(C97="","",MIN(MAX(0,D97+E97-F97-G97),MAX(0,IF(MONATSBUDGET!$C$11="",0,MONATSBUDGET!$C$11)-SUM(F80:F99)-SUM(H80:H96))))</x:f>
      </x:c>
      <x:c r="I97" s="88" t="str">
        <x:f>IF(C97="","",MAX(0,ROUND(D97+E97-F97-G97-H97,2)))</x:f>
      </x:c>
      <x:c r="J97" s="88" t="str">
        <x:f>IF(C97="","",F97+G97+H97)</x:f>
      </x:c>
      <x:c r="K97" s="88" t="str">
        <x:f>IF(C97="","",MAX(0,SUMIFS(SONDERZAHLUNGEN!$E$9:$E$128,SONDERZAHLUNGEN!$B$9:$B$128,C97,SONDERZAHLUNGEN!$C$9:$C$128,A97,SONDERZAHLUNGEN!$H$9:$H$128,"OK",SONDERZAHLUNGEN!$F$9:$F$128,"Ja")-G97))</x:f>
      </x:c>
    </x:row>
    <x:row r="98" ht="19" customHeight="1">
      <x:c r="A98" s="90" t="n">
        <x:f>MONATSBUDGET!$A$11</x:f>
        <x:v>46327</x:v>
      </x:c>
      <x:c r="B98" t="n">
        <x:f>19</x:f>
        <x:v>19</x:v>
      </x:c>
      <x:c r="C98" t="str">
        <x:f>IF($N$27="","",$N$27)</x:f>
      </x:c>
      <x:c r="D98" s="88" t="str">
        <x:f>IF(C98="","",I78)</x:f>
      </x:c>
      <x:c r="E98" s="88" t="str">
        <x:f>IF(C98="","",ROUND(D98*$P$27/12,2))</x:f>
      </x:c>
      <x:c r="F98" s="88" t="str">
        <x:f>IF(C98="","",MIN(D98+E98,$Q$27))</x:f>
      </x:c>
      <x:c r="G98" s="88" t="str">
        <x:f>IF(C98="","",MIN(MAX(0,D98+E98-F98),SUMIFS(SONDERZAHLUNGEN!$E$9:$E$128,SONDERZAHLUNGEN!$B$9:$B$128,C98,SONDERZAHLUNGEN!$C$9:$C$128,A98,SONDERZAHLUNGEN!$H$9:$H$128,"OK",SONDERZAHLUNGEN!$F$9:$F$128,"Ja")))</x:f>
      </x:c>
      <x:c r="H98" s="88" t="str">
        <x:f>IF(C98="","",MIN(MAX(0,D98+E98-F98-G98),MAX(0,IF(MONATSBUDGET!$C$11="",0,MONATSBUDGET!$C$11)-SUM(F80:F99)-SUM(H80:H97))))</x:f>
      </x:c>
      <x:c r="I98" s="88" t="str">
        <x:f>IF(C98="","",MAX(0,ROUND(D98+E98-F98-G98-H98,2)))</x:f>
      </x:c>
      <x:c r="J98" s="88" t="str">
        <x:f>IF(C98="","",F98+G98+H98)</x:f>
      </x:c>
      <x:c r="K98" s="88" t="str">
        <x:f>IF(C98="","",MAX(0,SUMIFS(SONDERZAHLUNGEN!$E$9:$E$128,SONDERZAHLUNGEN!$B$9:$B$128,C98,SONDERZAHLUNGEN!$C$9:$C$128,A98,SONDERZAHLUNGEN!$H$9:$H$128,"OK",SONDERZAHLUNGEN!$F$9:$F$128,"Ja")-G98))</x:f>
      </x:c>
    </x:row>
    <x:row r="99" ht="19" customHeight="1">
      <x:c r="A99" s="90" t="n">
        <x:f>MONATSBUDGET!$A$11</x:f>
        <x:v>46327</x:v>
      </x:c>
      <x:c r="B99" t="n">
        <x:f>20</x:f>
        <x:v>20</x:v>
      </x:c>
      <x:c r="C99" t="str">
        <x:f>IF($N$28="","",$N$28)</x:f>
      </x:c>
      <x:c r="D99" s="88" t="str">
        <x:f>IF(C99="","",I79)</x:f>
      </x:c>
      <x:c r="E99" s="88" t="str">
        <x:f>IF(C99="","",ROUND(D99*$P$28/12,2))</x:f>
      </x:c>
      <x:c r="F99" s="88" t="str">
        <x:f>IF(C99="","",MIN(D99+E99,$Q$28))</x:f>
      </x:c>
      <x:c r="G99" s="88" t="str">
        <x:f>IF(C99="","",MIN(MAX(0,D99+E99-F99),SUMIFS(SONDERZAHLUNGEN!$E$9:$E$128,SONDERZAHLUNGEN!$B$9:$B$128,C99,SONDERZAHLUNGEN!$C$9:$C$128,A99,SONDERZAHLUNGEN!$H$9:$H$128,"OK",SONDERZAHLUNGEN!$F$9:$F$128,"Ja")))</x:f>
      </x:c>
      <x:c r="H99" s="88" t="str">
        <x:f>IF(C99="","",MIN(MAX(0,D99+E99-F99-G99),MAX(0,IF(MONATSBUDGET!$C$11="",0,MONATSBUDGET!$C$11)-SUM(F80:F99)-SUM(H80:H98))))</x:f>
      </x:c>
      <x:c r="I99" s="88" t="str">
        <x:f>IF(C99="","",MAX(0,ROUND(D99+E99-F99-G99-H99,2)))</x:f>
      </x:c>
      <x:c r="J99" s="88" t="str">
        <x:f>IF(C99="","",F99+G99+H99)</x:f>
      </x:c>
      <x:c r="K99" s="88" t="str">
        <x:f>IF(C99="","",MAX(0,SUMIFS(SONDERZAHLUNGEN!$E$9:$E$128,SONDERZAHLUNGEN!$B$9:$B$128,C99,SONDERZAHLUNGEN!$C$9:$C$128,A99,SONDERZAHLUNGEN!$H$9:$H$128,"OK",SONDERZAHLUNGEN!$F$9:$F$128,"Ja")-G99))</x:f>
      </x:c>
    </x:row>
    <x:row r="100" ht="19" customHeight="1">
      <x:c r="A100" s="90" t="n">
        <x:f>MONATSBUDGET!$A$12</x:f>
        <x:v>46357</x:v>
      </x:c>
      <x:c r="B100" t="n">
        <x:f>1</x:f>
        <x:v>1</x:v>
      </x:c>
      <x:c r="C100" t="str">
        <x:f>IF($N$9="","",$N$9)</x:f>
      </x:c>
      <x:c r="D100" s="88" t="str">
        <x:f>IF(C100="","",I80)</x:f>
      </x:c>
      <x:c r="E100" s="88" t="str">
        <x:f>IF(C100="","",ROUND(D100*$P$9/12,2))</x:f>
      </x:c>
      <x:c r="F100" s="88" t="str">
        <x:f>IF(C100="","",MIN(D100+E100,$Q$9))</x:f>
      </x:c>
      <x:c r="G100" s="88" t="str">
        <x:f>IF(C100="","",MIN(MAX(0,D100+E100-F100),SUMIFS(SONDERZAHLUNGEN!$E$9:$E$128,SONDERZAHLUNGEN!$B$9:$B$128,C100,SONDERZAHLUNGEN!$C$9:$C$128,A100,SONDERZAHLUNGEN!$H$9:$H$128,"OK",SONDERZAHLUNGEN!$F$9:$F$128,"Ja")))</x:f>
      </x:c>
      <x:c r="H100" s="88" t="str">
        <x:f>IF(C100="","",MIN(MAX(0,D100+E100-F100-G100),MAX(0,IF(MONATSBUDGET!$C$12="",0,MONATSBUDGET!$C$12)-SUM(F100:F119)-0)))</x:f>
      </x:c>
      <x:c r="I100" s="88" t="str">
        <x:f>IF(C100="","",MAX(0,ROUND(D100+E100-F100-G100-H100,2)))</x:f>
      </x:c>
      <x:c r="J100" s="88" t="str">
        <x:f>IF(C100="","",F100+G100+H100)</x:f>
      </x:c>
      <x:c r="K100" s="88" t="str">
        <x:f>IF(C100="","",MAX(0,SUMIFS(SONDERZAHLUNGEN!$E$9:$E$128,SONDERZAHLUNGEN!$B$9:$B$128,C100,SONDERZAHLUNGEN!$C$9:$C$128,A100,SONDERZAHLUNGEN!$H$9:$H$128,"OK",SONDERZAHLUNGEN!$F$9:$F$128,"Ja")-G100))</x:f>
      </x:c>
    </x:row>
    <x:row r="101" ht="19" customHeight="1">
      <x:c r="A101" s="90" t="n">
        <x:f>MONATSBUDGET!$A$12</x:f>
        <x:v>46357</x:v>
      </x:c>
      <x:c r="B101" t="n">
        <x:f>2</x:f>
        <x:v>2</x:v>
      </x:c>
      <x:c r="C101" t="str">
        <x:f>IF($N$10="","",$N$10)</x:f>
      </x:c>
      <x:c r="D101" s="88" t="str">
        <x:f>IF(C101="","",I81)</x:f>
      </x:c>
      <x:c r="E101" s="88" t="str">
        <x:f>IF(C101="","",ROUND(D101*$P$10/12,2))</x:f>
      </x:c>
      <x:c r="F101" s="88" t="str">
        <x:f>IF(C101="","",MIN(D101+E101,$Q$10))</x:f>
      </x:c>
      <x:c r="G101" s="88" t="str">
        <x:f>IF(C101="","",MIN(MAX(0,D101+E101-F101),SUMIFS(SONDERZAHLUNGEN!$E$9:$E$128,SONDERZAHLUNGEN!$B$9:$B$128,C101,SONDERZAHLUNGEN!$C$9:$C$128,A101,SONDERZAHLUNGEN!$H$9:$H$128,"OK",SONDERZAHLUNGEN!$F$9:$F$128,"Ja")))</x:f>
      </x:c>
      <x:c r="H101" s="88" t="str">
        <x:f>IF(C101="","",MIN(MAX(0,D101+E101-F101-G101),MAX(0,IF(MONATSBUDGET!$C$12="",0,MONATSBUDGET!$C$12)-SUM(F100:F119)-SUM(H100:H100))))</x:f>
      </x:c>
      <x:c r="I101" s="88" t="str">
        <x:f>IF(C101="","",MAX(0,ROUND(D101+E101-F101-G101-H101,2)))</x:f>
      </x:c>
      <x:c r="J101" s="88" t="str">
        <x:f>IF(C101="","",F101+G101+H101)</x:f>
      </x:c>
      <x:c r="K101" s="88" t="str">
        <x:f>IF(C101="","",MAX(0,SUMIFS(SONDERZAHLUNGEN!$E$9:$E$128,SONDERZAHLUNGEN!$B$9:$B$128,C101,SONDERZAHLUNGEN!$C$9:$C$128,A101,SONDERZAHLUNGEN!$H$9:$H$128,"OK",SONDERZAHLUNGEN!$F$9:$F$128,"Ja")-G101))</x:f>
      </x:c>
    </x:row>
    <x:row r="102" ht="19" customHeight="1">
      <x:c r="A102" s="90" t="n">
        <x:f>MONATSBUDGET!$A$12</x:f>
        <x:v>46357</x:v>
      </x:c>
      <x:c r="B102" t="n">
        <x:f>3</x:f>
        <x:v>3</x:v>
      </x:c>
      <x:c r="C102" t="str">
        <x:f>IF($N$11="","",$N$11)</x:f>
      </x:c>
      <x:c r="D102" s="88" t="str">
        <x:f>IF(C102="","",I82)</x:f>
      </x:c>
      <x:c r="E102" s="88" t="str">
        <x:f>IF(C102="","",ROUND(D102*$P$11/12,2))</x:f>
      </x:c>
      <x:c r="F102" s="88" t="str">
        <x:f>IF(C102="","",MIN(D102+E102,$Q$11))</x:f>
      </x:c>
      <x:c r="G102" s="88" t="str">
        <x:f>IF(C102="","",MIN(MAX(0,D102+E102-F102),SUMIFS(SONDERZAHLUNGEN!$E$9:$E$128,SONDERZAHLUNGEN!$B$9:$B$128,C102,SONDERZAHLUNGEN!$C$9:$C$128,A102,SONDERZAHLUNGEN!$H$9:$H$128,"OK",SONDERZAHLUNGEN!$F$9:$F$128,"Ja")))</x:f>
      </x:c>
      <x:c r="H102" s="88" t="str">
        <x:f>IF(C102="","",MIN(MAX(0,D102+E102-F102-G102),MAX(0,IF(MONATSBUDGET!$C$12="",0,MONATSBUDGET!$C$12)-SUM(F100:F119)-SUM(H100:H101))))</x:f>
      </x:c>
      <x:c r="I102" s="88" t="str">
        <x:f>IF(C102="","",MAX(0,ROUND(D102+E102-F102-G102-H102,2)))</x:f>
      </x:c>
      <x:c r="J102" s="88" t="str">
        <x:f>IF(C102="","",F102+G102+H102)</x:f>
      </x:c>
      <x:c r="K102" s="88" t="str">
        <x:f>IF(C102="","",MAX(0,SUMIFS(SONDERZAHLUNGEN!$E$9:$E$128,SONDERZAHLUNGEN!$B$9:$B$128,C102,SONDERZAHLUNGEN!$C$9:$C$128,A102,SONDERZAHLUNGEN!$H$9:$H$128,"OK",SONDERZAHLUNGEN!$F$9:$F$128,"Ja")-G102))</x:f>
      </x:c>
    </x:row>
    <x:row r="103" ht="19" customHeight="1">
      <x:c r="A103" s="90" t="n">
        <x:f>MONATSBUDGET!$A$12</x:f>
        <x:v>46357</x:v>
      </x:c>
      <x:c r="B103" t="n">
        <x:f>4</x:f>
        <x:v>4</x:v>
      </x:c>
      <x:c r="C103" t="str">
        <x:f>IF($N$12="","",$N$12)</x:f>
      </x:c>
      <x:c r="D103" s="88" t="str">
        <x:f>IF(C103="","",I83)</x:f>
      </x:c>
      <x:c r="E103" s="88" t="str">
        <x:f>IF(C103="","",ROUND(D103*$P$12/12,2))</x:f>
      </x:c>
      <x:c r="F103" s="88" t="str">
        <x:f>IF(C103="","",MIN(D103+E103,$Q$12))</x:f>
      </x:c>
      <x:c r="G103" s="88" t="str">
        <x:f>IF(C103="","",MIN(MAX(0,D103+E103-F103),SUMIFS(SONDERZAHLUNGEN!$E$9:$E$128,SONDERZAHLUNGEN!$B$9:$B$128,C103,SONDERZAHLUNGEN!$C$9:$C$128,A103,SONDERZAHLUNGEN!$H$9:$H$128,"OK",SONDERZAHLUNGEN!$F$9:$F$128,"Ja")))</x:f>
      </x:c>
      <x:c r="H103" s="88" t="str">
        <x:f>IF(C103="","",MIN(MAX(0,D103+E103-F103-G103),MAX(0,IF(MONATSBUDGET!$C$12="",0,MONATSBUDGET!$C$12)-SUM(F100:F119)-SUM(H100:H102))))</x:f>
      </x:c>
      <x:c r="I103" s="88" t="str">
        <x:f>IF(C103="","",MAX(0,ROUND(D103+E103-F103-G103-H103,2)))</x:f>
      </x:c>
      <x:c r="J103" s="88" t="str">
        <x:f>IF(C103="","",F103+G103+H103)</x:f>
      </x:c>
      <x:c r="K103" s="88" t="str">
        <x:f>IF(C103="","",MAX(0,SUMIFS(SONDERZAHLUNGEN!$E$9:$E$128,SONDERZAHLUNGEN!$B$9:$B$128,C103,SONDERZAHLUNGEN!$C$9:$C$128,A103,SONDERZAHLUNGEN!$H$9:$H$128,"OK",SONDERZAHLUNGEN!$F$9:$F$128,"Ja")-G103))</x:f>
      </x:c>
    </x:row>
    <x:row r="104" ht="19" customHeight="1">
      <x:c r="A104" s="90" t="n">
        <x:f>MONATSBUDGET!$A$12</x:f>
        <x:v>46357</x:v>
      </x:c>
      <x:c r="B104" t="n">
        <x:f>5</x:f>
        <x:v>5</x:v>
      </x:c>
      <x:c r="C104" t="str">
        <x:f>IF($N$13="","",$N$13)</x:f>
      </x:c>
      <x:c r="D104" s="88" t="str">
        <x:f>IF(C104="","",I84)</x:f>
      </x:c>
      <x:c r="E104" s="88" t="str">
        <x:f>IF(C104="","",ROUND(D104*$P$13/12,2))</x:f>
      </x:c>
      <x:c r="F104" s="88" t="str">
        <x:f>IF(C104="","",MIN(D104+E104,$Q$13))</x:f>
      </x:c>
      <x:c r="G104" s="88" t="str">
        <x:f>IF(C104="","",MIN(MAX(0,D104+E104-F104),SUMIFS(SONDERZAHLUNGEN!$E$9:$E$128,SONDERZAHLUNGEN!$B$9:$B$128,C104,SONDERZAHLUNGEN!$C$9:$C$128,A104,SONDERZAHLUNGEN!$H$9:$H$128,"OK",SONDERZAHLUNGEN!$F$9:$F$128,"Ja")))</x:f>
      </x:c>
      <x:c r="H104" s="88" t="str">
        <x:f>IF(C104="","",MIN(MAX(0,D104+E104-F104-G104),MAX(0,IF(MONATSBUDGET!$C$12="",0,MONATSBUDGET!$C$12)-SUM(F100:F119)-SUM(H100:H103))))</x:f>
      </x:c>
      <x:c r="I104" s="88" t="str">
        <x:f>IF(C104="","",MAX(0,ROUND(D104+E104-F104-G104-H104,2)))</x:f>
      </x:c>
      <x:c r="J104" s="88" t="str">
        <x:f>IF(C104="","",F104+G104+H104)</x:f>
      </x:c>
      <x:c r="K104" s="88" t="str">
        <x:f>IF(C104="","",MAX(0,SUMIFS(SONDERZAHLUNGEN!$E$9:$E$128,SONDERZAHLUNGEN!$B$9:$B$128,C104,SONDERZAHLUNGEN!$C$9:$C$128,A104,SONDERZAHLUNGEN!$H$9:$H$128,"OK",SONDERZAHLUNGEN!$F$9:$F$128,"Ja")-G104))</x:f>
      </x:c>
    </x:row>
    <x:row r="105" ht="19" customHeight="1">
      <x:c r="A105" s="90" t="n">
        <x:f>MONATSBUDGET!$A$12</x:f>
        <x:v>46357</x:v>
      </x:c>
      <x:c r="B105" t="n">
        <x:f>6</x:f>
        <x:v>6</x:v>
      </x:c>
      <x:c r="C105" t="str">
        <x:f>IF($N$14="","",$N$14)</x:f>
      </x:c>
      <x:c r="D105" s="88" t="str">
        <x:f>IF(C105="","",I85)</x:f>
      </x:c>
      <x:c r="E105" s="88" t="str">
        <x:f>IF(C105="","",ROUND(D105*$P$14/12,2))</x:f>
      </x:c>
      <x:c r="F105" s="88" t="str">
        <x:f>IF(C105="","",MIN(D105+E105,$Q$14))</x:f>
      </x:c>
      <x:c r="G105" s="88" t="str">
        <x:f>IF(C105="","",MIN(MAX(0,D105+E105-F105),SUMIFS(SONDERZAHLUNGEN!$E$9:$E$128,SONDERZAHLUNGEN!$B$9:$B$128,C105,SONDERZAHLUNGEN!$C$9:$C$128,A105,SONDERZAHLUNGEN!$H$9:$H$128,"OK",SONDERZAHLUNGEN!$F$9:$F$128,"Ja")))</x:f>
      </x:c>
      <x:c r="H105" s="88" t="str">
        <x:f>IF(C105="","",MIN(MAX(0,D105+E105-F105-G105),MAX(0,IF(MONATSBUDGET!$C$12="",0,MONATSBUDGET!$C$12)-SUM(F100:F119)-SUM(H100:H104))))</x:f>
      </x:c>
      <x:c r="I105" s="88" t="str">
        <x:f>IF(C105="","",MAX(0,ROUND(D105+E105-F105-G105-H105,2)))</x:f>
      </x:c>
      <x:c r="J105" s="88" t="str">
        <x:f>IF(C105="","",F105+G105+H105)</x:f>
      </x:c>
      <x:c r="K105" s="88" t="str">
        <x:f>IF(C105="","",MAX(0,SUMIFS(SONDERZAHLUNGEN!$E$9:$E$128,SONDERZAHLUNGEN!$B$9:$B$128,C105,SONDERZAHLUNGEN!$C$9:$C$128,A105,SONDERZAHLUNGEN!$H$9:$H$128,"OK",SONDERZAHLUNGEN!$F$9:$F$128,"Ja")-G105))</x:f>
      </x:c>
    </x:row>
    <x:row r="106" ht="19" customHeight="1">
      <x:c r="A106" s="90" t="n">
        <x:f>MONATSBUDGET!$A$12</x:f>
        <x:v>46357</x:v>
      </x:c>
      <x:c r="B106" t="n">
        <x:f>7</x:f>
        <x:v>7</x:v>
      </x:c>
      <x:c r="C106" t="str">
        <x:f>IF($N$15="","",$N$15)</x:f>
      </x:c>
      <x:c r="D106" s="88" t="str">
        <x:f>IF(C106="","",I86)</x:f>
      </x:c>
      <x:c r="E106" s="88" t="str">
        <x:f>IF(C106="","",ROUND(D106*$P$15/12,2))</x:f>
      </x:c>
      <x:c r="F106" s="88" t="str">
        <x:f>IF(C106="","",MIN(D106+E106,$Q$15))</x:f>
      </x:c>
      <x:c r="G106" s="88" t="str">
        <x:f>IF(C106="","",MIN(MAX(0,D106+E106-F106),SUMIFS(SONDERZAHLUNGEN!$E$9:$E$128,SONDERZAHLUNGEN!$B$9:$B$128,C106,SONDERZAHLUNGEN!$C$9:$C$128,A106,SONDERZAHLUNGEN!$H$9:$H$128,"OK",SONDERZAHLUNGEN!$F$9:$F$128,"Ja")))</x:f>
      </x:c>
      <x:c r="H106" s="88" t="str">
        <x:f>IF(C106="","",MIN(MAX(0,D106+E106-F106-G106),MAX(0,IF(MONATSBUDGET!$C$12="",0,MONATSBUDGET!$C$12)-SUM(F100:F119)-SUM(H100:H105))))</x:f>
      </x:c>
      <x:c r="I106" s="88" t="str">
        <x:f>IF(C106="","",MAX(0,ROUND(D106+E106-F106-G106-H106,2)))</x:f>
      </x:c>
      <x:c r="J106" s="88" t="str">
        <x:f>IF(C106="","",F106+G106+H106)</x:f>
      </x:c>
      <x:c r="K106" s="88" t="str">
        <x:f>IF(C106="","",MAX(0,SUMIFS(SONDERZAHLUNGEN!$E$9:$E$128,SONDERZAHLUNGEN!$B$9:$B$128,C106,SONDERZAHLUNGEN!$C$9:$C$128,A106,SONDERZAHLUNGEN!$H$9:$H$128,"OK",SONDERZAHLUNGEN!$F$9:$F$128,"Ja")-G106))</x:f>
      </x:c>
    </x:row>
    <x:row r="107" ht="19" customHeight="1">
      <x:c r="A107" s="90" t="n">
        <x:f>MONATSBUDGET!$A$12</x:f>
        <x:v>46357</x:v>
      </x:c>
      <x:c r="B107" t="n">
        <x:f>8</x:f>
        <x:v>8</x:v>
      </x:c>
      <x:c r="C107" t="str">
        <x:f>IF($N$16="","",$N$16)</x:f>
      </x:c>
      <x:c r="D107" s="88" t="str">
        <x:f>IF(C107="","",I87)</x:f>
      </x:c>
      <x:c r="E107" s="88" t="str">
        <x:f>IF(C107="","",ROUND(D107*$P$16/12,2))</x:f>
      </x:c>
      <x:c r="F107" s="88" t="str">
        <x:f>IF(C107="","",MIN(D107+E107,$Q$16))</x:f>
      </x:c>
      <x:c r="G107" s="88" t="str">
        <x:f>IF(C107="","",MIN(MAX(0,D107+E107-F107),SUMIFS(SONDERZAHLUNGEN!$E$9:$E$128,SONDERZAHLUNGEN!$B$9:$B$128,C107,SONDERZAHLUNGEN!$C$9:$C$128,A107,SONDERZAHLUNGEN!$H$9:$H$128,"OK",SONDERZAHLUNGEN!$F$9:$F$128,"Ja")))</x:f>
      </x:c>
      <x:c r="H107" s="88" t="str">
        <x:f>IF(C107="","",MIN(MAX(0,D107+E107-F107-G107),MAX(0,IF(MONATSBUDGET!$C$12="",0,MONATSBUDGET!$C$12)-SUM(F100:F119)-SUM(H100:H106))))</x:f>
      </x:c>
      <x:c r="I107" s="88" t="str">
        <x:f>IF(C107="","",MAX(0,ROUND(D107+E107-F107-G107-H107,2)))</x:f>
      </x:c>
      <x:c r="J107" s="88" t="str">
        <x:f>IF(C107="","",F107+G107+H107)</x:f>
      </x:c>
      <x:c r="K107" s="88" t="str">
        <x:f>IF(C107="","",MAX(0,SUMIFS(SONDERZAHLUNGEN!$E$9:$E$128,SONDERZAHLUNGEN!$B$9:$B$128,C107,SONDERZAHLUNGEN!$C$9:$C$128,A107,SONDERZAHLUNGEN!$H$9:$H$128,"OK",SONDERZAHLUNGEN!$F$9:$F$128,"Ja")-G107))</x:f>
      </x:c>
    </x:row>
    <x:row r="108" ht="19" customHeight="1">
      <x:c r="A108" s="90" t="n">
        <x:f>MONATSBUDGET!$A$12</x:f>
        <x:v>46357</x:v>
      </x:c>
      <x:c r="B108" t="n">
        <x:f>9</x:f>
        <x:v>9</x:v>
      </x:c>
      <x:c r="C108" t="str">
        <x:f>IF($N$17="","",$N$17)</x:f>
      </x:c>
      <x:c r="D108" s="88" t="str">
        <x:f>IF(C108="","",I88)</x:f>
      </x:c>
      <x:c r="E108" s="88" t="str">
        <x:f>IF(C108="","",ROUND(D108*$P$17/12,2))</x:f>
      </x:c>
      <x:c r="F108" s="88" t="str">
        <x:f>IF(C108="","",MIN(D108+E108,$Q$17))</x:f>
      </x:c>
      <x:c r="G108" s="88" t="str">
        <x:f>IF(C108="","",MIN(MAX(0,D108+E108-F108),SUMIFS(SONDERZAHLUNGEN!$E$9:$E$128,SONDERZAHLUNGEN!$B$9:$B$128,C108,SONDERZAHLUNGEN!$C$9:$C$128,A108,SONDERZAHLUNGEN!$H$9:$H$128,"OK",SONDERZAHLUNGEN!$F$9:$F$128,"Ja")))</x:f>
      </x:c>
      <x:c r="H108" s="88" t="str">
        <x:f>IF(C108="","",MIN(MAX(0,D108+E108-F108-G108),MAX(0,IF(MONATSBUDGET!$C$12="",0,MONATSBUDGET!$C$12)-SUM(F100:F119)-SUM(H100:H107))))</x:f>
      </x:c>
      <x:c r="I108" s="88" t="str">
        <x:f>IF(C108="","",MAX(0,ROUND(D108+E108-F108-G108-H108,2)))</x:f>
      </x:c>
      <x:c r="J108" s="88" t="str">
        <x:f>IF(C108="","",F108+G108+H108)</x:f>
      </x:c>
      <x:c r="K108" s="88" t="str">
        <x:f>IF(C108="","",MAX(0,SUMIFS(SONDERZAHLUNGEN!$E$9:$E$128,SONDERZAHLUNGEN!$B$9:$B$128,C108,SONDERZAHLUNGEN!$C$9:$C$128,A108,SONDERZAHLUNGEN!$H$9:$H$128,"OK",SONDERZAHLUNGEN!$F$9:$F$128,"Ja")-G108))</x:f>
      </x:c>
    </x:row>
    <x:row r="109" ht="19" customHeight="1">
      <x:c r="A109" s="90" t="n">
        <x:f>MONATSBUDGET!$A$12</x:f>
        <x:v>46357</x:v>
      </x:c>
      <x:c r="B109" t="n">
        <x:f>10</x:f>
        <x:v>10</x:v>
      </x:c>
      <x:c r="C109" t="str">
        <x:f>IF($N$18="","",$N$18)</x:f>
      </x:c>
      <x:c r="D109" s="88" t="str">
        <x:f>IF(C109="","",I89)</x:f>
      </x:c>
      <x:c r="E109" s="88" t="str">
        <x:f>IF(C109="","",ROUND(D109*$P$18/12,2))</x:f>
      </x:c>
      <x:c r="F109" s="88" t="str">
        <x:f>IF(C109="","",MIN(D109+E109,$Q$18))</x:f>
      </x:c>
      <x:c r="G109" s="88" t="str">
        <x:f>IF(C109="","",MIN(MAX(0,D109+E109-F109),SUMIFS(SONDERZAHLUNGEN!$E$9:$E$128,SONDERZAHLUNGEN!$B$9:$B$128,C109,SONDERZAHLUNGEN!$C$9:$C$128,A109,SONDERZAHLUNGEN!$H$9:$H$128,"OK",SONDERZAHLUNGEN!$F$9:$F$128,"Ja")))</x:f>
      </x:c>
      <x:c r="H109" s="88" t="str">
        <x:f>IF(C109="","",MIN(MAX(0,D109+E109-F109-G109),MAX(0,IF(MONATSBUDGET!$C$12="",0,MONATSBUDGET!$C$12)-SUM(F100:F119)-SUM(H100:H108))))</x:f>
      </x:c>
      <x:c r="I109" s="88" t="str">
        <x:f>IF(C109="","",MAX(0,ROUND(D109+E109-F109-G109-H109,2)))</x:f>
      </x:c>
      <x:c r="J109" s="88" t="str">
        <x:f>IF(C109="","",F109+G109+H109)</x:f>
      </x:c>
      <x:c r="K109" s="88" t="str">
        <x:f>IF(C109="","",MAX(0,SUMIFS(SONDERZAHLUNGEN!$E$9:$E$128,SONDERZAHLUNGEN!$B$9:$B$128,C109,SONDERZAHLUNGEN!$C$9:$C$128,A109,SONDERZAHLUNGEN!$H$9:$H$128,"OK",SONDERZAHLUNGEN!$F$9:$F$128,"Ja")-G109))</x:f>
      </x:c>
    </x:row>
    <x:row r="110" ht="19" customHeight="1">
      <x:c r="A110" s="90" t="n">
        <x:f>MONATSBUDGET!$A$12</x:f>
        <x:v>46357</x:v>
      </x:c>
      <x:c r="B110" t="n">
        <x:f>11</x:f>
        <x:v>11</x:v>
      </x:c>
      <x:c r="C110" t="str">
        <x:f>IF($N$19="","",$N$19)</x:f>
      </x:c>
      <x:c r="D110" s="88" t="str">
        <x:f>IF(C110="","",I90)</x:f>
      </x:c>
      <x:c r="E110" s="88" t="str">
        <x:f>IF(C110="","",ROUND(D110*$P$19/12,2))</x:f>
      </x:c>
      <x:c r="F110" s="88" t="str">
        <x:f>IF(C110="","",MIN(D110+E110,$Q$19))</x:f>
      </x:c>
      <x:c r="G110" s="88" t="str">
        <x:f>IF(C110="","",MIN(MAX(0,D110+E110-F110),SUMIFS(SONDERZAHLUNGEN!$E$9:$E$128,SONDERZAHLUNGEN!$B$9:$B$128,C110,SONDERZAHLUNGEN!$C$9:$C$128,A110,SONDERZAHLUNGEN!$H$9:$H$128,"OK",SONDERZAHLUNGEN!$F$9:$F$128,"Ja")))</x:f>
      </x:c>
      <x:c r="H110" s="88" t="str">
        <x:f>IF(C110="","",MIN(MAX(0,D110+E110-F110-G110),MAX(0,IF(MONATSBUDGET!$C$12="",0,MONATSBUDGET!$C$12)-SUM(F100:F119)-SUM(H100:H109))))</x:f>
      </x:c>
      <x:c r="I110" s="88" t="str">
        <x:f>IF(C110="","",MAX(0,ROUND(D110+E110-F110-G110-H110,2)))</x:f>
      </x:c>
      <x:c r="J110" s="88" t="str">
        <x:f>IF(C110="","",F110+G110+H110)</x:f>
      </x:c>
      <x:c r="K110" s="88" t="str">
        <x:f>IF(C110="","",MAX(0,SUMIFS(SONDERZAHLUNGEN!$E$9:$E$128,SONDERZAHLUNGEN!$B$9:$B$128,C110,SONDERZAHLUNGEN!$C$9:$C$128,A110,SONDERZAHLUNGEN!$H$9:$H$128,"OK",SONDERZAHLUNGEN!$F$9:$F$128,"Ja")-G110))</x:f>
      </x:c>
    </x:row>
    <x:row r="111" ht="19" customHeight="1">
      <x:c r="A111" s="90" t="n">
        <x:f>MONATSBUDGET!$A$12</x:f>
        <x:v>46357</x:v>
      </x:c>
      <x:c r="B111" t="n">
        <x:f>12</x:f>
        <x:v>12</x:v>
      </x:c>
      <x:c r="C111" t="str">
        <x:f>IF($N$20="","",$N$20)</x:f>
      </x:c>
      <x:c r="D111" s="88" t="str">
        <x:f>IF(C111="","",I91)</x:f>
      </x:c>
      <x:c r="E111" s="88" t="str">
        <x:f>IF(C111="","",ROUND(D111*$P$20/12,2))</x:f>
      </x:c>
      <x:c r="F111" s="88" t="str">
        <x:f>IF(C111="","",MIN(D111+E111,$Q$20))</x:f>
      </x:c>
      <x:c r="G111" s="88" t="str">
        <x:f>IF(C111="","",MIN(MAX(0,D111+E111-F111),SUMIFS(SONDERZAHLUNGEN!$E$9:$E$128,SONDERZAHLUNGEN!$B$9:$B$128,C111,SONDERZAHLUNGEN!$C$9:$C$128,A111,SONDERZAHLUNGEN!$H$9:$H$128,"OK",SONDERZAHLUNGEN!$F$9:$F$128,"Ja")))</x:f>
      </x:c>
      <x:c r="H111" s="88" t="str">
        <x:f>IF(C111="","",MIN(MAX(0,D111+E111-F111-G111),MAX(0,IF(MONATSBUDGET!$C$12="",0,MONATSBUDGET!$C$12)-SUM(F100:F119)-SUM(H100:H110))))</x:f>
      </x:c>
      <x:c r="I111" s="88" t="str">
        <x:f>IF(C111="","",MAX(0,ROUND(D111+E111-F111-G111-H111,2)))</x:f>
      </x:c>
      <x:c r="J111" s="88" t="str">
        <x:f>IF(C111="","",F111+G111+H111)</x:f>
      </x:c>
      <x:c r="K111" s="88" t="str">
        <x:f>IF(C111="","",MAX(0,SUMIFS(SONDERZAHLUNGEN!$E$9:$E$128,SONDERZAHLUNGEN!$B$9:$B$128,C111,SONDERZAHLUNGEN!$C$9:$C$128,A111,SONDERZAHLUNGEN!$H$9:$H$128,"OK",SONDERZAHLUNGEN!$F$9:$F$128,"Ja")-G111))</x:f>
      </x:c>
    </x:row>
    <x:row r="112" ht="19" customHeight="1">
      <x:c r="A112" s="90" t="n">
        <x:f>MONATSBUDGET!$A$12</x:f>
        <x:v>46357</x:v>
      </x:c>
      <x:c r="B112" t="n">
        <x:f>13</x:f>
        <x:v>13</x:v>
      </x:c>
      <x:c r="C112" t="str">
        <x:f>IF($N$21="","",$N$21)</x:f>
      </x:c>
      <x:c r="D112" s="88" t="str">
        <x:f>IF(C112="","",I92)</x:f>
      </x:c>
      <x:c r="E112" s="88" t="str">
        <x:f>IF(C112="","",ROUND(D112*$P$21/12,2))</x:f>
      </x:c>
      <x:c r="F112" s="88" t="str">
        <x:f>IF(C112="","",MIN(D112+E112,$Q$21))</x:f>
      </x:c>
      <x:c r="G112" s="88" t="str">
        <x:f>IF(C112="","",MIN(MAX(0,D112+E112-F112),SUMIFS(SONDERZAHLUNGEN!$E$9:$E$128,SONDERZAHLUNGEN!$B$9:$B$128,C112,SONDERZAHLUNGEN!$C$9:$C$128,A112,SONDERZAHLUNGEN!$H$9:$H$128,"OK",SONDERZAHLUNGEN!$F$9:$F$128,"Ja")))</x:f>
      </x:c>
      <x:c r="H112" s="88" t="str">
        <x:f>IF(C112="","",MIN(MAX(0,D112+E112-F112-G112),MAX(0,IF(MONATSBUDGET!$C$12="",0,MONATSBUDGET!$C$12)-SUM(F100:F119)-SUM(H100:H111))))</x:f>
      </x:c>
      <x:c r="I112" s="88" t="str">
        <x:f>IF(C112="","",MAX(0,ROUND(D112+E112-F112-G112-H112,2)))</x:f>
      </x:c>
      <x:c r="J112" s="88" t="str">
        <x:f>IF(C112="","",F112+G112+H112)</x:f>
      </x:c>
      <x:c r="K112" s="88" t="str">
        <x:f>IF(C112="","",MAX(0,SUMIFS(SONDERZAHLUNGEN!$E$9:$E$128,SONDERZAHLUNGEN!$B$9:$B$128,C112,SONDERZAHLUNGEN!$C$9:$C$128,A112,SONDERZAHLUNGEN!$H$9:$H$128,"OK",SONDERZAHLUNGEN!$F$9:$F$128,"Ja")-G112))</x:f>
      </x:c>
    </x:row>
    <x:row r="113" ht="19" customHeight="1">
      <x:c r="A113" s="90" t="n">
        <x:f>MONATSBUDGET!$A$12</x:f>
        <x:v>46357</x:v>
      </x:c>
      <x:c r="B113" t="n">
        <x:f>14</x:f>
        <x:v>14</x:v>
      </x:c>
      <x:c r="C113" t="str">
        <x:f>IF($N$22="","",$N$22)</x:f>
      </x:c>
      <x:c r="D113" s="88" t="str">
        <x:f>IF(C113="","",I93)</x:f>
      </x:c>
      <x:c r="E113" s="88" t="str">
        <x:f>IF(C113="","",ROUND(D113*$P$22/12,2))</x:f>
      </x:c>
      <x:c r="F113" s="88" t="str">
        <x:f>IF(C113="","",MIN(D113+E113,$Q$22))</x:f>
      </x:c>
      <x:c r="G113" s="88" t="str">
        <x:f>IF(C113="","",MIN(MAX(0,D113+E113-F113),SUMIFS(SONDERZAHLUNGEN!$E$9:$E$128,SONDERZAHLUNGEN!$B$9:$B$128,C113,SONDERZAHLUNGEN!$C$9:$C$128,A113,SONDERZAHLUNGEN!$H$9:$H$128,"OK",SONDERZAHLUNGEN!$F$9:$F$128,"Ja")))</x:f>
      </x:c>
      <x:c r="H113" s="88" t="str">
        <x:f>IF(C113="","",MIN(MAX(0,D113+E113-F113-G113),MAX(0,IF(MONATSBUDGET!$C$12="",0,MONATSBUDGET!$C$12)-SUM(F100:F119)-SUM(H100:H112))))</x:f>
      </x:c>
      <x:c r="I113" s="88" t="str">
        <x:f>IF(C113="","",MAX(0,ROUND(D113+E113-F113-G113-H113,2)))</x:f>
      </x:c>
      <x:c r="J113" s="88" t="str">
        <x:f>IF(C113="","",F113+G113+H113)</x:f>
      </x:c>
      <x:c r="K113" s="88" t="str">
        <x:f>IF(C113="","",MAX(0,SUMIFS(SONDERZAHLUNGEN!$E$9:$E$128,SONDERZAHLUNGEN!$B$9:$B$128,C113,SONDERZAHLUNGEN!$C$9:$C$128,A113,SONDERZAHLUNGEN!$H$9:$H$128,"OK",SONDERZAHLUNGEN!$F$9:$F$128,"Ja")-G113))</x:f>
      </x:c>
    </x:row>
    <x:row r="114" ht="19" customHeight="1">
      <x:c r="A114" s="90" t="n">
        <x:f>MONATSBUDGET!$A$12</x:f>
        <x:v>46357</x:v>
      </x:c>
      <x:c r="B114" t="n">
        <x:f>15</x:f>
        <x:v>15</x:v>
      </x:c>
      <x:c r="C114" t="str">
        <x:f>IF($N$23="","",$N$23)</x:f>
      </x:c>
      <x:c r="D114" s="88" t="str">
        <x:f>IF(C114="","",I94)</x:f>
      </x:c>
      <x:c r="E114" s="88" t="str">
        <x:f>IF(C114="","",ROUND(D114*$P$23/12,2))</x:f>
      </x:c>
      <x:c r="F114" s="88" t="str">
        <x:f>IF(C114="","",MIN(D114+E114,$Q$23))</x:f>
      </x:c>
      <x:c r="G114" s="88" t="str">
        <x:f>IF(C114="","",MIN(MAX(0,D114+E114-F114),SUMIFS(SONDERZAHLUNGEN!$E$9:$E$128,SONDERZAHLUNGEN!$B$9:$B$128,C114,SONDERZAHLUNGEN!$C$9:$C$128,A114,SONDERZAHLUNGEN!$H$9:$H$128,"OK",SONDERZAHLUNGEN!$F$9:$F$128,"Ja")))</x:f>
      </x:c>
      <x:c r="H114" s="88" t="str">
        <x:f>IF(C114="","",MIN(MAX(0,D114+E114-F114-G114),MAX(0,IF(MONATSBUDGET!$C$12="",0,MONATSBUDGET!$C$12)-SUM(F100:F119)-SUM(H100:H113))))</x:f>
      </x:c>
      <x:c r="I114" s="88" t="str">
        <x:f>IF(C114="","",MAX(0,ROUND(D114+E114-F114-G114-H114,2)))</x:f>
      </x:c>
      <x:c r="J114" s="88" t="str">
        <x:f>IF(C114="","",F114+G114+H114)</x:f>
      </x:c>
      <x:c r="K114" s="88" t="str">
        <x:f>IF(C114="","",MAX(0,SUMIFS(SONDERZAHLUNGEN!$E$9:$E$128,SONDERZAHLUNGEN!$B$9:$B$128,C114,SONDERZAHLUNGEN!$C$9:$C$128,A114,SONDERZAHLUNGEN!$H$9:$H$128,"OK",SONDERZAHLUNGEN!$F$9:$F$128,"Ja")-G114))</x:f>
      </x:c>
    </x:row>
    <x:row r="115" ht="19" customHeight="1">
      <x:c r="A115" s="90" t="n">
        <x:f>MONATSBUDGET!$A$12</x:f>
        <x:v>46357</x:v>
      </x:c>
      <x:c r="B115" t="n">
        <x:f>16</x:f>
        <x:v>16</x:v>
      </x:c>
      <x:c r="C115" t="str">
        <x:f>IF($N$24="","",$N$24)</x:f>
      </x:c>
      <x:c r="D115" s="88" t="str">
        <x:f>IF(C115="","",I95)</x:f>
      </x:c>
      <x:c r="E115" s="88" t="str">
        <x:f>IF(C115="","",ROUND(D115*$P$24/12,2))</x:f>
      </x:c>
      <x:c r="F115" s="88" t="str">
        <x:f>IF(C115="","",MIN(D115+E115,$Q$24))</x:f>
      </x:c>
      <x:c r="G115" s="88" t="str">
        <x:f>IF(C115="","",MIN(MAX(0,D115+E115-F115),SUMIFS(SONDERZAHLUNGEN!$E$9:$E$128,SONDERZAHLUNGEN!$B$9:$B$128,C115,SONDERZAHLUNGEN!$C$9:$C$128,A115,SONDERZAHLUNGEN!$H$9:$H$128,"OK",SONDERZAHLUNGEN!$F$9:$F$128,"Ja")))</x:f>
      </x:c>
      <x:c r="H115" s="88" t="str">
        <x:f>IF(C115="","",MIN(MAX(0,D115+E115-F115-G115),MAX(0,IF(MONATSBUDGET!$C$12="",0,MONATSBUDGET!$C$12)-SUM(F100:F119)-SUM(H100:H114))))</x:f>
      </x:c>
      <x:c r="I115" s="88" t="str">
        <x:f>IF(C115="","",MAX(0,ROUND(D115+E115-F115-G115-H115,2)))</x:f>
      </x:c>
      <x:c r="J115" s="88" t="str">
        <x:f>IF(C115="","",F115+G115+H115)</x:f>
      </x:c>
      <x:c r="K115" s="88" t="str">
        <x:f>IF(C115="","",MAX(0,SUMIFS(SONDERZAHLUNGEN!$E$9:$E$128,SONDERZAHLUNGEN!$B$9:$B$128,C115,SONDERZAHLUNGEN!$C$9:$C$128,A115,SONDERZAHLUNGEN!$H$9:$H$128,"OK",SONDERZAHLUNGEN!$F$9:$F$128,"Ja")-G115))</x:f>
      </x:c>
    </x:row>
    <x:row r="116" ht="19" customHeight="1">
      <x:c r="A116" s="90" t="n">
        <x:f>MONATSBUDGET!$A$12</x:f>
        <x:v>46357</x:v>
      </x:c>
      <x:c r="B116" t="n">
        <x:f>17</x:f>
        <x:v>17</x:v>
      </x:c>
      <x:c r="C116" t="str">
        <x:f>IF($N$25="","",$N$25)</x:f>
      </x:c>
      <x:c r="D116" s="88" t="str">
        <x:f>IF(C116="","",I96)</x:f>
      </x:c>
      <x:c r="E116" s="88" t="str">
        <x:f>IF(C116="","",ROUND(D116*$P$25/12,2))</x:f>
      </x:c>
      <x:c r="F116" s="88" t="str">
        <x:f>IF(C116="","",MIN(D116+E116,$Q$25))</x:f>
      </x:c>
      <x:c r="G116" s="88" t="str">
        <x:f>IF(C116="","",MIN(MAX(0,D116+E116-F116),SUMIFS(SONDERZAHLUNGEN!$E$9:$E$128,SONDERZAHLUNGEN!$B$9:$B$128,C116,SONDERZAHLUNGEN!$C$9:$C$128,A116,SONDERZAHLUNGEN!$H$9:$H$128,"OK",SONDERZAHLUNGEN!$F$9:$F$128,"Ja")))</x:f>
      </x:c>
      <x:c r="H116" s="88" t="str">
        <x:f>IF(C116="","",MIN(MAX(0,D116+E116-F116-G116),MAX(0,IF(MONATSBUDGET!$C$12="",0,MONATSBUDGET!$C$12)-SUM(F100:F119)-SUM(H100:H115))))</x:f>
      </x:c>
      <x:c r="I116" s="88" t="str">
        <x:f>IF(C116="","",MAX(0,ROUND(D116+E116-F116-G116-H116,2)))</x:f>
      </x:c>
      <x:c r="J116" s="88" t="str">
        <x:f>IF(C116="","",F116+G116+H116)</x:f>
      </x:c>
      <x:c r="K116" s="88" t="str">
        <x:f>IF(C116="","",MAX(0,SUMIFS(SONDERZAHLUNGEN!$E$9:$E$128,SONDERZAHLUNGEN!$B$9:$B$128,C116,SONDERZAHLUNGEN!$C$9:$C$128,A116,SONDERZAHLUNGEN!$H$9:$H$128,"OK",SONDERZAHLUNGEN!$F$9:$F$128,"Ja")-G116))</x:f>
      </x:c>
    </x:row>
    <x:row r="117" ht="19" customHeight="1">
      <x:c r="A117" s="90" t="n">
        <x:f>MONATSBUDGET!$A$12</x:f>
        <x:v>46357</x:v>
      </x:c>
      <x:c r="B117" t="n">
        <x:f>18</x:f>
        <x:v>18</x:v>
      </x:c>
      <x:c r="C117" t="str">
        <x:f>IF($N$26="","",$N$26)</x:f>
      </x:c>
      <x:c r="D117" s="88" t="str">
        <x:f>IF(C117="","",I97)</x:f>
      </x:c>
      <x:c r="E117" s="88" t="str">
        <x:f>IF(C117="","",ROUND(D117*$P$26/12,2))</x:f>
      </x:c>
      <x:c r="F117" s="88" t="str">
        <x:f>IF(C117="","",MIN(D117+E117,$Q$26))</x:f>
      </x:c>
      <x:c r="G117" s="88" t="str">
        <x:f>IF(C117="","",MIN(MAX(0,D117+E117-F117),SUMIFS(SONDERZAHLUNGEN!$E$9:$E$128,SONDERZAHLUNGEN!$B$9:$B$128,C117,SONDERZAHLUNGEN!$C$9:$C$128,A117,SONDERZAHLUNGEN!$H$9:$H$128,"OK",SONDERZAHLUNGEN!$F$9:$F$128,"Ja")))</x:f>
      </x:c>
      <x:c r="H117" s="88" t="str">
        <x:f>IF(C117="","",MIN(MAX(0,D117+E117-F117-G117),MAX(0,IF(MONATSBUDGET!$C$12="",0,MONATSBUDGET!$C$12)-SUM(F100:F119)-SUM(H100:H116))))</x:f>
      </x:c>
      <x:c r="I117" s="88" t="str">
        <x:f>IF(C117="","",MAX(0,ROUND(D117+E117-F117-G117-H117,2)))</x:f>
      </x:c>
      <x:c r="J117" s="88" t="str">
        <x:f>IF(C117="","",F117+G117+H117)</x:f>
      </x:c>
      <x:c r="K117" s="88" t="str">
        <x:f>IF(C117="","",MAX(0,SUMIFS(SONDERZAHLUNGEN!$E$9:$E$128,SONDERZAHLUNGEN!$B$9:$B$128,C117,SONDERZAHLUNGEN!$C$9:$C$128,A117,SONDERZAHLUNGEN!$H$9:$H$128,"OK",SONDERZAHLUNGEN!$F$9:$F$128,"Ja")-G117))</x:f>
      </x:c>
    </x:row>
    <x:row r="118" ht="19" customHeight="1">
      <x:c r="A118" s="90" t="n">
        <x:f>MONATSBUDGET!$A$12</x:f>
        <x:v>46357</x:v>
      </x:c>
      <x:c r="B118" t="n">
        <x:f>19</x:f>
        <x:v>19</x:v>
      </x:c>
      <x:c r="C118" t="str">
        <x:f>IF($N$27="","",$N$27)</x:f>
      </x:c>
      <x:c r="D118" s="88" t="str">
        <x:f>IF(C118="","",I98)</x:f>
      </x:c>
      <x:c r="E118" s="88" t="str">
        <x:f>IF(C118="","",ROUND(D118*$P$27/12,2))</x:f>
      </x:c>
      <x:c r="F118" s="88" t="str">
        <x:f>IF(C118="","",MIN(D118+E118,$Q$27))</x:f>
      </x:c>
      <x:c r="G118" s="88" t="str">
        <x:f>IF(C118="","",MIN(MAX(0,D118+E118-F118),SUMIFS(SONDERZAHLUNGEN!$E$9:$E$128,SONDERZAHLUNGEN!$B$9:$B$128,C118,SONDERZAHLUNGEN!$C$9:$C$128,A118,SONDERZAHLUNGEN!$H$9:$H$128,"OK",SONDERZAHLUNGEN!$F$9:$F$128,"Ja")))</x:f>
      </x:c>
      <x:c r="H118" s="88" t="str">
        <x:f>IF(C118="","",MIN(MAX(0,D118+E118-F118-G118),MAX(0,IF(MONATSBUDGET!$C$12="",0,MONATSBUDGET!$C$12)-SUM(F100:F119)-SUM(H100:H117))))</x:f>
      </x:c>
      <x:c r="I118" s="88" t="str">
        <x:f>IF(C118="","",MAX(0,ROUND(D118+E118-F118-G118-H118,2)))</x:f>
      </x:c>
      <x:c r="J118" s="88" t="str">
        <x:f>IF(C118="","",F118+G118+H118)</x:f>
      </x:c>
      <x:c r="K118" s="88" t="str">
        <x:f>IF(C118="","",MAX(0,SUMIFS(SONDERZAHLUNGEN!$E$9:$E$128,SONDERZAHLUNGEN!$B$9:$B$128,C118,SONDERZAHLUNGEN!$C$9:$C$128,A118,SONDERZAHLUNGEN!$H$9:$H$128,"OK",SONDERZAHLUNGEN!$F$9:$F$128,"Ja")-G118))</x:f>
      </x:c>
    </x:row>
    <x:row r="119" ht="19" customHeight="1">
      <x:c r="A119" s="90" t="n">
        <x:f>MONATSBUDGET!$A$12</x:f>
        <x:v>46357</x:v>
      </x:c>
      <x:c r="B119" t="n">
        <x:f>20</x:f>
        <x:v>20</x:v>
      </x:c>
      <x:c r="C119" t="str">
        <x:f>IF($N$28="","",$N$28)</x:f>
      </x:c>
      <x:c r="D119" s="88" t="str">
        <x:f>IF(C119="","",I99)</x:f>
      </x:c>
      <x:c r="E119" s="88" t="str">
        <x:f>IF(C119="","",ROUND(D119*$P$28/12,2))</x:f>
      </x:c>
      <x:c r="F119" s="88" t="str">
        <x:f>IF(C119="","",MIN(D119+E119,$Q$28))</x:f>
      </x:c>
      <x:c r="G119" s="88" t="str">
        <x:f>IF(C119="","",MIN(MAX(0,D119+E119-F119),SUMIFS(SONDERZAHLUNGEN!$E$9:$E$128,SONDERZAHLUNGEN!$B$9:$B$128,C119,SONDERZAHLUNGEN!$C$9:$C$128,A119,SONDERZAHLUNGEN!$H$9:$H$128,"OK",SONDERZAHLUNGEN!$F$9:$F$128,"Ja")))</x:f>
      </x:c>
      <x:c r="H119" s="88" t="str">
        <x:f>IF(C119="","",MIN(MAX(0,D119+E119-F119-G119),MAX(0,IF(MONATSBUDGET!$C$12="",0,MONATSBUDGET!$C$12)-SUM(F100:F119)-SUM(H100:H118))))</x:f>
      </x:c>
      <x:c r="I119" s="88" t="str">
        <x:f>IF(C119="","",MAX(0,ROUND(D119+E119-F119-G119-H119,2)))</x:f>
      </x:c>
      <x:c r="J119" s="88" t="str">
        <x:f>IF(C119="","",F119+G119+H119)</x:f>
      </x:c>
      <x:c r="K119" s="88" t="str">
        <x:f>IF(C119="","",MAX(0,SUMIFS(SONDERZAHLUNGEN!$E$9:$E$128,SONDERZAHLUNGEN!$B$9:$B$128,C119,SONDERZAHLUNGEN!$C$9:$C$128,A119,SONDERZAHLUNGEN!$H$9:$H$128,"OK",SONDERZAHLUNGEN!$F$9:$F$128,"Ja")-G119))</x:f>
      </x:c>
    </x:row>
    <x:row r="120" ht="19" customHeight="1">
      <x:c r="A120" s="90" t="n">
        <x:f>MONATSBUDGET!$A$13</x:f>
        <x:v>46388</x:v>
      </x:c>
      <x:c r="B120" t="n">
        <x:f>1</x:f>
        <x:v>1</x:v>
      </x:c>
      <x:c r="C120" t="str">
        <x:f>IF($N$9="","",$N$9)</x:f>
      </x:c>
      <x:c r="D120" s="88" t="str">
        <x:f>IF(C120="","",I100)</x:f>
      </x:c>
      <x:c r="E120" s="88" t="str">
        <x:f>IF(C120="","",ROUND(D120*$P$9/12,2))</x:f>
      </x:c>
      <x:c r="F120" s="88" t="str">
        <x:f>IF(C120="","",MIN(D120+E120,$Q$9))</x:f>
      </x:c>
      <x:c r="G120" s="88" t="str">
        <x:f>IF(C120="","",MIN(MAX(0,D120+E120-F120),SUMIFS(SONDERZAHLUNGEN!$E$9:$E$128,SONDERZAHLUNGEN!$B$9:$B$128,C120,SONDERZAHLUNGEN!$C$9:$C$128,A120,SONDERZAHLUNGEN!$H$9:$H$128,"OK",SONDERZAHLUNGEN!$F$9:$F$128,"Ja")))</x:f>
      </x:c>
      <x:c r="H120" s="88" t="str">
        <x:f>IF(C120="","",MIN(MAX(0,D120+E120-F120-G120),MAX(0,IF(MONATSBUDGET!$C$13="",0,MONATSBUDGET!$C$13)-SUM(F120:F139)-0)))</x:f>
      </x:c>
      <x:c r="I120" s="88" t="str">
        <x:f>IF(C120="","",MAX(0,ROUND(D120+E120-F120-G120-H120,2)))</x:f>
      </x:c>
      <x:c r="J120" s="88" t="str">
        <x:f>IF(C120="","",F120+G120+H120)</x:f>
      </x:c>
      <x:c r="K120" s="88" t="str">
        <x:f>IF(C120="","",MAX(0,SUMIFS(SONDERZAHLUNGEN!$E$9:$E$128,SONDERZAHLUNGEN!$B$9:$B$128,C120,SONDERZAHLUNGEN!$C$9:$C$128,A120,SONDERZAHLUNGEN!$H$9:$H$128,"OK",SONDERZAHLUNGEN!$F$9:$F$128,"Ja")-G120))</x:f>
      </x:c>
    </x:row>
    <x:row r="121" ht="19" customHeight="1">
      <x:c r="A121" s="90" t="n">
        <x:f>MONATSBUDGET!$A$13</x:f>
        <x:v>46388</x:v>
      </x:c>
      <x:c r="B121" t="n">
        <x:f>2</x:f>
        <x:v>2</x:v>
      </x:c>
      <x:c r="C121" t="str">
        <x:f>IF($N$10="","",$N$10)</x:f>
      </x:c>
      <x:c r="D121" s="88" t="str">
        <x:f>IF(C121="","",I101)</x:f>
      </x:c>
      <x:c r="E121" s="88" t="str">
        <x:f>IF(C121="","",ROUND(D121*$P$10/12,2))</x:f>
      </x:c>
      <x:c r="F121" s="88" t="str">
        <x:f>IF(C121="","",MIN(D121+E121,$Q$10))</x:f>
      </x:c>
      <x:c r="G121" s="88" t="str">
        <x:f>IF(C121="","",MIN(MAX(0,D121+E121-F121),SUMIFS(SONDERZAHLUNGEN!$E$9:$E$128,SONDERZAHLUNGEN!$B$9:$B$128,C121,SONDERZAHLUNGEN!$C$9:$C$128,A121,SONDERZAHLUNGEN!$H$9:$H$128,"OK",SONDERZAHLUNGEN!$F$9:$F$128,"Ja")))</x:f>
      </x:c>
      <x:c r="H121" s="88" t="str">
        <x:f>IF(C121="","",MIN(MAX(0,D121+E121-F121-G121),MAX(0,IF(MONATSBUDGET!$C$13="",0,MONATSBUDGET!$C$13)-SUM(F120:F139)-SUM(H120:H120))))</x:f>
      </x:c>
      <x:c r="I121" s="88" t="str">
        <x:f>IF(C121="","",MAX(0,ROUND(D121+E121-F121-G121-H121,2)))</x:f>
      </x:c>
      <x:c r="J121" s="88" t="str">
        <x:f>IF(C121="","",F121+G121+H121)</x:f>
      </x:c>
      <x:c r="K121" s="88" t="str">
        <x:f>IF(C121="","",MAX(0,SUMIFS(SONDERZAHLUNGEN!$E$9:$E$128,SONDERZAHLUNGEN!$B$9:$B$128,C121,SONDERZAHLUNGEN!$C$9:$C$128,A121,SONDERZAHLUNGEN!$H$9:$H$128,"OK",SONDERZAHLUNGEN!$F$9:$F$128,"Ja")-G121))</x:f>
      </x:c>
    </x:row>
    <x:row r="122" ht="19" customHeight="1">
      <x:c r="A122" s="90" t="n">
        <x:f>MONATSBUDGET!$A$13</x:f>
        <x:v>46388</x:v>
      </x:c>
      <x:c r="B122" t="n">
        <x:f>3</x:f>
        <x:v>3</x:v>
      </x:c>
      <x:c r="C122" t="str">
        <x:f>IF($N$11="","",$N$11)</x:f>
      </x:c>
      <x:c r="D122" s="88" t="str">
        <x:f>IF(C122="","",I102)</x:f>
      </x:c>
      <x:c r="E122" s="88" t="str">
        <x:f>IF(C122="","",ROUND(D122*$P$11/12,2))</x:f>
      </x:c>
      <x:c r="F122" s="88" t="str">
        <x:f>IF(C122="","",MIN(D122+E122,$Q$11))</x:f>
      </x:c>
      <x:c r="G122" s="88" t="str">
        <x:f>IF(C122="","",MIN(MAX(0,D122+E122-F122),SUMIFS(SONDERZAHLUNGEN!$E$9:$E$128,SONDERZAHLUNGEN!$B$9:$B$128,C122,SONDERZAHLUNGEN!$C$9:$C$128,A122,SONDERZAHLUNGEN!$H$9:$H$128,"OK",SONDERZAHLUNGEN!$F$9:$F$128,"Ja")))</x:f>
      </x:c>
      <x:c r="H122" s="88" t="str">
        <x:f>IF(C122="","",MIN(MAX(0,D122+E122-F122-G122),MAX(0,IF(MONATSBUDGET!$C$13="",0,MONATSBUDGET!$C$13)-SUM(F120:F139)-SUM(H120:H121))))</x:f>
      </x:c>
      <x:c r="I122" s="88" t="str">
        <x:f>IF(C122="","",MAX(0,ROUND(D122+E122-F122-G122-H122,2)))</x:f>
      </x:c>
      <x:c r="J122" s="88" t="str">
        <x:f>IF(C122="","",F122+G122+H122)</x:f>
      </x:c>
      <x:c r="K122" s="88" t="str">
        <x:f>IF(C122="","",MAX(0,SUMIFS(SONDERZAHLUNGEN!$E$9:$E$128,SONDERZAHLUNGEN!$B$9:$B$128,C122,SONDERZAHLUNGEN!$C$9:$C$128,A122,SONDERZAHLUNGEN!$H$9:$H$128,"OK",SONDERZAHLUNGEN!$F$9:$F$128,"Ja")-G122))</x:f>
      </x:c>
    </x:row>
    <x:row r="123" ht="19" customHeight="1">
      <x:c r="A123" s="90" t="n">
        <x:f>MONATSBUDGET!$A$13</x:f>
        <x:v>46388</x:v>
      </x:c>
      <x:c r="B123" t="n">
        <x:f>4</x:f>
        <x:v>4</x:v>
      </x:c>
      <x:c r="C123" t="str">
        <x:f>IF($N$12="","",$N$12)</x:f>
      </x:c>
      <x:c r="D123" s="88" t="str">
        <x:f>IF(C123="","",I103)</x:f>
      </x:c>
      <x:c r="E123" s="88" t="str">
        <x:f>IF(C123="","",ROUND(D123*$P$12/12,2))</x:f>
      </x:c>
      <x:c r="F123" s="88" t="str">
        <x:f>IF(C123="","",MIN(D123+E123,$Q$12))</x:f>
      </x:c>
      <x:c r="G123" s="88" t="str">
        <x:f>IF(C123="","",MIN(MAX(0,D123+E123-F123),SUMIFS(SONDERZAHLUNGEN!$E$9:$E$128,SONDERZAHLUNGEN!$B$9:$B$128,C123,SONDERZAHLUNGEN!$C$9:$C$128,A123,SONDERZAHLUNGEN!$H$9:$H$128,"OK",SONDERZAHLUNGEN!$F$9:$F$128,"Ja")))</x:f>
      </x:c>
      <x:c r="H123" s="88" t="str">
        <x:f>IF(C123="","",MIN(MAX(0,D123+E123-F123-G123),MAX(0,IF(MONATSBUDGET!$C$13="",0,MONATSBUDGET!$C$13)-SUM(F120:F139)-SUM(H120:H122))))</x:f>
      </x:c>
      <x:c r="I123" s="88" t="str">
        <x:f>IF(C123="","",MAX(0,ROUND(D123+E123-F123-G123-H123,2)))</x:f>
      </x:c>
      <x:c r="J123" s="88" t="str">
        <x:f>IF(C123="","",F123+G123+H123)</x:f>
      </x:c>
      <x:c r="K123" s="88" t="str">
        <x:f>IF(C123="","",MAX(0,SUMIFS(SONDERZAHLUNGEN!$E$9:$E$128,SONDERZAHLUNGEN!$B$9:$B$128,C123,SONDERZAHLUNGEN!$C$9:$C$128,A123,SONDERZAHLUNGEN!$H$9:$H$128,"OK",SONDERZAHLUNGEN!$F$9:$F$128,"Ja")-G123))</x:f>
      </x:c>
    </x:row>
    <x:row r="124" ht="19" customHeight="1">
      <x:c r="A124" s="90" t="n">
        <x:f>MONATSBUDGET!$A$13</x:f>
        <x:v>46388</x:v>
      </x:c>
      <x:c r="B124" t="n">
        <x:f>5</x:f>
        <x:v>5</x:v>
      </x:c>
      <x:c r="C124" t="str">
        <x:f>IF($N$13="","",$N$13)</x:f>
      </x:c>
      <x:c r="D124" s="88" t="str">
        <x:f>IF(C124="","",I104)</x:f>
      </x:c>
      <x:c r="E124" s="88" t="str">
        <x:f>IF(C124="","",ROUND(D124*$P$13/12,2))</x:f>
      </x:c>
      <x:c r="F124" s="88" t="str">
        <x:f>IF(C124="","",MIN(D124+E124,$Q$13))</x:f>
      </x:c>
      <x:c r="G124" s="88" t="str">
        <x:f>IF(C124="","",MIN(MAX(0,D124+E124-F124),SUMIFS(SONDERZAHLUNGEN!$E$9:$E$128,SONDERZAHLUNGEN!$B$9:$B$128,C124,SONDERZAHLUNGEN!$C$9:$C$128,A124,SONDERZAHLUNGEN!$H$9:$H$128,"OK",SONDERZAHLUNGEN!$F$9:$F$128,"Ja")))</x:f>
      </x:c>
      <x:c r="H124" s="88" t="str">
        <x:f>IF(C124="","",MIN(MAX(0,D124+E124-F124-G124),MAX(0,IF(MONATSBUDGET!$C$13="",0,MONATSBUDGET!$C$13)-SUM(F120:F139)-SUM(H120:H123))))</x:f>
      </x:c>
      <x:c r="I124" s="88" t="str">
        <x:f>IF(C124="","",MAX(0,ROUND(D124+E124-F124-G124-H124,2)))</x:f>
      </x:c>
      <x:c r="J124" s="88" t="str">
        <x:f>IF(C124="","",F124+G124+H124)</x:f>
      </x:c>
      <x:c r="K124" s="88" t="str">
        <x:f>IF(C124="","",MAX(0,SUMIFS(SONDERZAHLUNGEN!$E$9:$E$128,SONDERZAHLUNGEN!$B$9:$B$128,C124,SONDERZAHLUNGEN!$C$9:$C$128,A124,SONDERZAHLUNGEN!$H$9:$H$128,"OK",SONDERZAHLUNGEN!$F$9:$F$128,"Ja")-G124))</x:f>
      </x:c>
    </x:row>
    <x:row r="125" ht="19" customHeight="1">
      <x:c r="A125" s="90" t="n">
        <x:f>MONATSBUDGET!$A$13</x:f>
        <x:v>46388</x:v>
      </x:c>
      <x:c r="B125" t="n">
        <x:f>6</x:f>
        <x:v>6</x:v>
      </x:c>
      <x:c r="C125" t="str">
        <x:f>IF($N$14="","",$N$14)</x:f>
      </x:c>
      <x:c r="D125" s="88" t="str">
        <x:f>IF(C125="","",I105)</x:f>
      </x:c>
      <x:c r="E125" s="88" t="str">
        <x:f>IF(C125="","",ROUND(D125*$P$14/12,2))</x:f>
      </x:c>
      <x:c r="F125" s="88" t="str">
        <x:f>IF(C125="","",MIN(D125+E125,$Q$14))</x:f>
      </x:c>
      <x:c r="G125" s="88" t="str">
        <x:f>IF(C125="","",MIN(MAX(0,D125+E125-F125),SUMIFS(SONDERZAHLUNGEN!$E$9:$E$128,SONDERZAHLUNGEN!$B$9:$B$128,C125,SONDERZAHLUNGEN!$C$9:$C$128,A125,SONDERZAHLUNGEN!$H$9:$H$128,"OK",SONDERZAHLUNGEN!$F$9:$F$128,"Ja")))</x:f>
      </x:c>
      <x:c r="H125" s="88" t="str">
        <x:f>IF(C125="","",MIN(MAX(0,D125+E125-F125-G125),MAX(0,IF(MONATSBUDGET!$C$13="",0,MONATSBUDGET!$C$13)-SUM(F120:F139)-SUM(H120:H124))))</x:f>
      </x:c>
      <x:c r="I125" s="88" t="str">
        <x:f>IF(C125="","",MAX(0,ROUND(D125+E125-F125-G125-H125,2)))</x:f>
      </x:c>
      <x:c r="J125" s="88" t="str">
        <x:f>IF(C125="","",F125+G125+H125)</x:f>
      </x:c>
      <x:c r="K125" s="88" t="str">
        <x:f>IF(C125="","",MAX(0,SUMIFS(SONDERZAHLUNGEN!$E$9:$E$128,SONDERZAHLUNGEN!$B$9:$B$128,C125,SONDERZAHLUNGEN!$C$9:$C$128,A125,SONDERZAHLUNGEN!$H$9:$H$128,"OK",SONDERZAHLUNGEN!$F$9:$F$128,"Ja")-G125))</x:f>
      </x:c>
    </x:row>
    <x:row r="126" ht="19" customHeight="1">
      <x:c r="A126" s="90" t="n">
        <x:f>MONATSBUDGET!$A$13</x:f>
        <x:v>46388</x:v>
      </x:c>
      <x:c r="B126" t="n">
        <x:f>7</x:f>
        <x:v>7</x:v>
      </x:c>
      <x:c r="C126" t="str">
        <x:f>IF($N$15="","",$N$15)</x:f>
      </x:c>
      <x:c r="D126" s="88" t="str">
        <x:f>IF(C126="","",I106)</x:f>
      </x:c>
      <x:c r="E126" s="88" t="str">
        <x:f>IF(C126="","",ROUND(D126*$P$15/12,2))</x:f>
      </x:c>
      <x:c r="F126" s="88" t="str">
        <x:f>IF(C126="","",MIN(D126+E126,$Q$15))</x:f>
      </x:c>
      <x:c r="G126" s="88" t="str">
        <x:f>IF(C126="","",MIN(MAX(0,D126+E126-F126),SUMIFS(SONDERZAHLUNGEN!$E$9:$E$128,SONDERZAHLUNGEN!$B$9:$B$128,C126,SONDERZAHLUNGEN!$C$9:$C$128,A126,SONDERZAHLUNGEN!$H$9:$H$128,"OK",SONDERZAHLUNGEN!$F$9:$F$128,"Ja")))</x:f>
      </x:c>
      <x:c r="H126" s="88" t="str">
        <x:f>IF(C126="","",MIN(MAX(0,D126+E126-F126-G126),MAX(0,IF(MONATSBUDGET!$C$13="",0,MONATSBUDGET!$C$13)-SUM(F120:F139)-SUM(H120:H125))))</x:f>
      </x:c>
      <x:c r="I126" s="88" t="str">
        <x:f>IF(C126="","",MAX(0,ROUND(D126+E126-F126-G126-H126,2)))</x:f>
      </x:c>
      <x:c r="J126" s="88" t="str">
        <x:f>IF(C126="","",F126+G126+H126)</x:f>
      </x:c>
      <x:c r="K126" s="88" t="str">
        <x:f>IF(C126="","",MAX(0,SUMIFS(SONDERZAHLUNGEN!$E$9:$E$128,SONDERZAHLUNGEN!$B$9:$B$128,C126,SONDERZAHLUNGEN!$C$9:$C$128,A126,SONDERZAHLUNGEN!$H$9:$H$128,"OK",SONDERZAHLUNGEN!$F$9:$F$128,"Ja")-G126))</x:f>
      </x:c>
    </x:row>
    <x:row r="127" ht="19" customHeight="1">
      <x:c r="A127" s="90" t="n">
        <x:f>MONATSBUDGET!$A$13</x:f>
        <x:v>46388</x:v>
      </x:c>
      <x:c r="B127" t="n">
        <x:f>8</x:f>
        <x:v>8</x:v>
      </x:c>
      <x:c r="C127" t="str">
        <x:f>IF($N$16="","",$N$16)</x:f>
      </x:c>
      <x:c r="D127" s="88" t="str">
        <x:f>IF(C127="","",I107)</x:f>
      </x:c>
      <x:c r="E127" s="88" t="str">
        <x:f>IF(C127="","",ROUND(D127*$P$16/12,2))</x:f>
      </x:c>
      <x:c r="F127" s="88" t="str">
        <x:f>IF(C127="","",MIN(D127+E127,$Q$16))</x:f>
      </x:c>
      <x:c r="G127" s="88" t="str">
        <x:f>IF(C127="","",MIN(MAX(0,D127+E127-F127),SUMIFS(SONDERZAHLUNGEN!$E$9:$E$128,SONDERZAHLUNGEN!$B$9:$B$128,C127,SONDERZAHLUNGEN!$C$9:$C$128,A127,SONDERZAHLUNGEN!$H$9:$H$128,"OK",SONDERZAHLUNGEN!$F$9:$F$128,"Ja")))</x:f>
      </x:c>
      <x:c r="H127" s="88" t="str">
        <x:f>IF(C127="","",MIN(MAX(0,D127+E127-F127-G127),MAX(0,IF(MONATSBUDGET!$C$13="",0,MONATSBUDGET!$C$13)-SUM(F120:F139)-SUM(H120:H126))))</x:f>
      </x:c>
      <x:c r="I127" s="88" t="str">
        <x:f>IF(C127="","",MAX(0,ROUND(D127+E127-F127-G127-H127,2)))</x:f>
      </x:c>
      <x:c r="J127" s="88" t="str">
        <x:f>IF(C127="","",F127+G127+H127)</x:f>
      </x:c>
      <x:c r="K127" s="88" t="str">
        <x:f>IF(C127="","",MAX(0,SUMIFS(SONDERZAHLUNGEN!$E$9:$E$128,SONDERZAHLUNGEN!$B$9:$B$128,C127,SONDERZAHLUNGEN!$C$9:$C$128,A127,SONDERZAHLUNGEN!$H$9:$H$128,"OK",SONDERZAHLUNGEN!$F$9:$F$128,"Ja")-G127))</x:f>
      </x:c>
    </x:row>
    <x:row r="128" ht="19" customHeight="1">
      <x:c r="A128" s="90" t="n">
        <x:f>MONATSBUDGET!$A$13</x:f>
        <x:v>46388</x:v>
      </x:c>
      <x:c r="B128" t="n">
        <x:f>9</x:f>
        <x:v>9</x:v>
      </x:c>
      <x:c r="C128" t="str">
        <x:f>IF($N$17="","",$N$17)</x:f>
      </x:c>
      <x:c r="D128" s="88" t="str">
        <x:f>IF(C128="","",I108)</x:f>
      </x:c>
      <x:c r="E128" s="88" t="str">
        <x:f>IF(C128="","",ROUND(D128*$P$17/12,2))</x:f>
      </x:c>
      <x:c r="F128" s="88" t="str">
        <x:f>IF(C128="","",MIN(D128+E128,$Q$17))</x:f>
      </x:c>
      <x:c r="G128" s="88" t="str">
        <x:f>IF(C128="","",MIN(MAX(0,D128+E128-F128),SUMIFS(SONDERZAHLUNGEN!$E$9:$E$128,SONDERZAHLUNGEN!$B$9:$B$128,C128,SONDERZAHLUNGEN!$C$9:$C$128,A128,SONDERZAHLUNGEN!$H$9:$H$128,"OK",SONDERZAHLUNGEN!$F$9:$F$128,"Ja")))</x:f>
      </x:c>
      <x:c r="H128" s="88" t="str">
        <x:f>IF(C128="","",MIN(MAX(0,D128+E128-F128-G128),MAX(0,IF(MONATSBUDGET!$C$13="",0,MONATSBUDGET!$C$13)-SUM(F120:F139)-SUM(H120:H127))))</x:f>
      </x:c>
      <x:c r="I128" s="88" t="str">
        <x:f>IF(C128="","",MAX(0,ROUND(D128+E128-F128-G128-H128,2)))</x:f>
      </x:c>
      <x:c r="J128" s="88" t="str">
        <x:f>IF(C128="","",F128+G128+H128)</x:f>
      </x:c>
      <x:c r="K128" s="88" t="str">
        <x:f>IF(C128="","",MAX(0,SUMIFS(SONDERZAHLUNGEN!$E$9:$E$128,SONDERZAHLUNGEN!$B$9:$B$128,C128,SONDERZAHLUNGEN!$C$9:$C$128,A128,SONDERZAHLUNGEN!$H$9:$H$128,"OK",SONDERZAHLUNGEN!$F$9:$F$128,"Ja")-G128))</x:f>
      </x:c>
    </x:row>
    <x:row r="129" ht="19" customHeight="1">
      <x:c r="A129" s="90" t="n">
        <x:f>MONATSBUDGET!$A$13</x:f>
        <x:v>46388</x:v>
      </x:c>
      <x:c r="B129" t="n">
        <x:f>10</x:f>
        <x:v>10</x:v>
      </x:c>
      <x:c r="C129" t="str">
        <x:f>IF($N$18="","",$N$18)</x:f>
      </x:c>
      <x:c r="D129" s="88" t="str">
        <x:f>IF(C129="","",I109)</x:f>
      </x:c>
      <x:c r="E129" s="88" t="str">
        <x:f>IF(C129="","",ROUND(D129*$P$18/12,2))</x:f>
      </x:c>
      <x:c r="F129" s="88" t="str">
        <x:f>IF(C129="","",MIN(D129+E129,$Q$18))</x:f>
      </x:c>
      <x:c r="G129" s="88" t="str">
        <x:f>IF(C129="","",MIN(MAX(0,D129+E129-F129),SUMIFS(SONDERZAHLUNGEN!$E$9:$E$128,SONDERZAHLUNGEN!$B$9:$B$128,C129,SONDERZAHLUNGEN!$C$9:$C$128,A129,SONDERZAHLUNGEN!$H$9:$H$128,"OK",SONDERZAHLUNGEN!$F$9:$F$128,"Ja")))</x:f>
      </x:c>
      <x:c r="H129" s="88" t="str">
        <x:f>IF(C129="","",MIN(MAX(0,D129+E129-F129-G129),MAX(0,IF(MONATSBUDGET!$C$13="",0,MONATSBUDGET!$C$13)-SUM(F120:F139)-SUM(H120:H128))))</x:f>
      </x:c>
      <x:c r="I129" s="88" t="str">
        <x:f>IF(C129="","",MAX(0,ROUND(D129+E129-F129-G129-H129,2)))</x:f>
      </x:c>
      <x:c r="J129" s="88" t="str">
        <x:f>IF(C129="","",F129+G129+H129)</x:f>
      </x:c>
      <x:c r="K129" s="88" t="str">
        <x:f>IF(C129="","",MAX(0,SUMIFS(SONDERZAHLUNGEN!$E$9:$E$128,SONDERZAHLUNGEN!$B$9:$B$128,C129,SONDERZAHLUNGEN!$C$9:$C$128,A129,SONDERZAHLUNGEN!$H$9:$H$128,"OK",SONDERZAHLUNGEN!$F$9:$F$128,"Ja")-G129))</x:f>
      </x:c>
    </x:row>
    <x:row r="130" ht="19" customHeight="1">
      <x:c r="A130" s="90" t="n">
        <x:f>MONATSBUDGET!$A$13</x:f>
        <x:v>46388</x:v>
      </x:c>
      <x:c r="B130" t="n">
        <x:f>11</x:f>
        <x:v>11</x:v>
      </x:c>
      <x:c r="C130" t="str">
        <x:f>IF($N$19="","",$N$19)</x:f>
      </x:c>
      <x:c r="D130" s="88" t="str">
        <x:f>IF(C130="","",I110)</x:f>
      </x:c>
      <x:c r="E130" s="88" t="str">
        <x:f>IF(C130="","",ROUND(D130*$P$19/12,2))</x:f>
      </x:c>
      <x:c r="F130" s="88" t="str">
        <x:f>IF(C130="","",MIN(D130+E130,$Q$19))</x:f>
      </x:c>
      <x:c r="G130" s="88" t="str">
        <x:f>IF(C130="","",MIN(MAX(0,D130+E130-F130),SUMIFS(SONDERZAHLUNGEN!$E$9:$E$128,SONDERZAHLUNGEN!$B$9:$B$128,C130,SONDERZAHLUNGEN!$C$9:$C$128,A130,SONDERZAHLUNGEN!$H$9:$H$128,"OK",SONDERZAHLUNGEN!$F$9:$F$128,"Ja")))</x:f>
      </x:c>
      <x:c r="H130" s="88" t="str">
        <x:f>IF(C130="","",MIN(MAX(0,D130+E130-F130-G130),MAX(0,IF(MONATSBUDGET!$C$13="",0,MONATSBUDGET!$C$13)-SUM(F120:F139)-SUM(H120:H129))))</x:f>
      </x:c>
      <x:c r="I130" s="88" t="str">
        <x:f>IF(C130="","",MAX(0,ROUND(D130+E130-F130-G130-H130,2)))</x:f>
      </x:c>
      <x:c r="J130" s="88" t="str">
        <x:f>IF(C130="","",F130+G130+H130)</x:f>
      </x:c>
      <x:c r="K130" s="88" t="str">
        <x:f>IF(C130="","",MAX(0,SUMIFS(SONDERZAHLUNGEN!$E$9:$E$128,SONDERZAHLUNGEN!$B$9:$B$128,C130,SONDERZAHLUNGEN!$C$9:$C$128,A130,SONDERZAHLUNGEN!$H$9:$H$128,"OK",SONDERZAHLUNGEN!$F$9:$F$128,"Ja")-G130))</x:f>
      </x:c>
    </x:row>
    <x:row r="131" ht="19" customHeight="1">
      <x:c r="A131" s="90" t="n">
        <x:f>MONATSBUDGET!$A$13</x:f>
        <x:v>46388</x:v>
      </x:c>
      <x:c r="B131" t="n">
        <x:f>12</x:f>
        <x:v>12</x:v>
      </x:c>
      <x:c r="C131" t="str">
        <x:f>IF($N$20="","",$N$20)</x:f>
      </x:c>
      <x:c r="D131" s="88" t="str">
        <x:f>IF(C131="","",I111)</x:f>
      </x:c>
      <x:c r="E131" s="88" t="str">
        <x:f>IF(C131="","",ROUND(D131*$P$20/12,2))</x:f>
      </x:c>
      <x:c r="F131" s="88" t="str">
        <x:f>IF(C131="","",MIN(D131+E131,$Q$20))</x:f>
      </x:c>
      <x:c r="G131" s="88" t="str">
        <x:f>IF(C131="","",MIN(MAX(0,D131+E131-F131),SUMIFS(SONDERZAHLUNGEN!$E$9:$E$128,SONDERZAHLUNGEN!$B$9:$B$128,C131,SONDERZAHLUNGEN!$C$9:$C$128,A131,SONDERZAHLUNGEN!$H$9:$H$128,"OK",SONDERZAHLUNGEN!$F$9:$F$128,"Ja")))</x:f>
      </x:c>
      <x:c r="H131" s="88" t="str">
        <x:f>IF(C131="","",MIN(MAX(0,D131+E131-F131-G131),MAX(0,IF(MONATSBUDGET!$C$13="",0,MONATSBUDGET!$C$13)-SUM(F120:F139)-SUM(H120:H130))))</x:f>
      </x:c>
      <x:c r="I131" s="88" t="str">
        <x:f>IF(C131="","",MAX(0,ROUND(D131+E131-F131-G131-H131,2)))</x:f>
      </x:c>
      <x:c r="J131" s="88" t="str">
        <x:f>IF(C131="","",F131+G131+H131)</x:f>
      </x:c>
      <x:c r="K131" s="88" t="str">
        <x:f>IF(C131="","",MAX(0,SUMIFS(SONDERZAHLUNGEN!$E$9:$E$128,SONDERZAHLUNGEN!$B$9:$B$128,C131,SONDERZAHLUNGEN!$C$9:$C$128,A131,SONDERZAHLUNGEN!$H$9:$H$128,"OK",SONDERZAHLUNGEN!$F$9:$F$128,"Ja")-G131))</x:f>
      </x:c>
    </x:row>
    <x:row r="132" ht="19" customHeight="1">
      <x:c r="A132" s="90" t="n">
        <x:f>MONATSBUDGET!$A$13</x:f>
        <x:v>46388</x:v>
      </x:c>
      <x:c r="B132" t="n">
        <x:f>13</x:f>
        <x:v>13</x:v>
      </x:c>
      <x:c r="C132" t="str">
        <x:f>IF($N$21="","",$N$21)</x:f>
      </x:c>
      <x:c r="D132" s="88" t="str">
        <x:f>IF(C132="","",I112)</x:f>
      </x:c>
      <x:c r="E132" s="88" t="str">
        <x:f>IF(C132="","",ROUND(D132*$P$21/12,2))</x:f>
      </x:c>
      <x:c r="F132" s="88" t="str">
        <x:f>IF(C132="","",MIN(D132+E132,$Q$21))</x:f>
      </x:c>
      <x:c r="G132" s="88" t="str">
        <x:f>IF(C132="","",MIN(MAX(0,D132+E132-F132),SUMIFS(SONDERZAHLUNGEN!$E$9:$E$128,SONDERZAHLUNGEN!$B$9:$B$128,C132,SONDERZAHLUNGEN!$C$9:$C$128,A132,SONDERZAHLUNGEN!$H$9:$H$128,"OK",SONDERZAHLUNGEN!$F$9:$F$128,"Ja")))</x:f>
      </x:c>
      <x:c r="H132" s="88" t="str">
        <x:f>IF(C132="","",MIN(MAX(0,D132+E132-F132-G132),MAX(0,IF(MONATSBUDGET!$C$13="",0,MONATSBUDGET!$C$13)-SUM(F120:F139)-SUM(H120:H131))))</x:f>
      </x:c>
      <x:c r="I132" s="88" t="str">
        <x:f>IF(C132="","",MAX(0,ROUND(D132+E132-F132-G132-H132,2)))</x:f>
      </x:c>
      <x:c r="J132" s="88" t="str">
        <x:f>IF(C132="","",F132+G132+H132)</x:f>
      </x:c>
      <x:c r="K132" s="88" t="str">
        <x:f>IF(C132="","",MAX(0,SUMIFS(SONDERZAHLUNGEN!$E$9:$E$128,SONDERZAHLUNGEN!$B$9:$B$128,C132,SONDERZAHLUNGEN!$C$9:$C$128,A132,SONDERZAHLUNGEN!$H$9:$H$128,"OK",SONDERZAHLUNGEN!$F$9:$F$128,"Ja")-G132))</x:f>
      </x:c>
    </x:row>
    <x:row r="133" ht="19" customHeight="1">
      <x:c r="A133" s="90" t="n">
        <x:f>MONATSBUDGET!$A$13</x:f>
        <x:v>46388</x:v>
      </x:c>
      <x:c r="B133" t="n">
        <x:f>14</x:f>
        <x:v>14</x:v>
      </x:c>
      <x:c r="C133" t="str">
        <x:f>IF($N$22="","",$N$22)</x:f>
      </x:c>
      <x:c r="D133" s="88" t="str">
        <x:f>IF(C133="","",I113)</x:f>
      </x:c>
      <x:c r="E133" s="88" t="str">
        <x:f>IF(C133="","",ROUND(D133*$P$22/12,2))</x:f>
      </x:c>
      <x:c r="F133" s="88" t="str">
        <x:f>IF(C133="","",MIN(D133+E133,$Q$22))</x:f>
      </x:c>
      <x:c r="G133" s="88" t="str">
        <x:f>IF(C133="","",MIN(MAX(0,D133+E133-F133),SUMIFS(SONDERZAHLUNGEN!$E$9:$E$128,SONDERZAHLUNGEN!$B$9:$B$128,C133,SONDERZAHLUNGEN!$C$9:$C$128,A133,SONDERZAHLUNGEN!$H$9:$H$128,"OK",SONDERZAHLUNGEN!$F$9:$F$128,"Ja")))</x:f>
      </x:c>
      <x:c r="H133" s="88" t="str">
        <x:f>IF(C133="","",MIN(MAX(0,D133+E133-F133-G133),MAX(0,IF(MONATSBUDGET!$C$13="",0,MONATSBUDGET!$C$13)-SUM(F120:F139)-SUM(H120:H132))))</x:f>
      </x:c>
      <x:c r="I133" s="88" t="str">
        <x:f>IF(C133="","",MAX(0,ROUND(D133+E133-F133-G133-H133,2)))</x:f>
      </x:c>
      <x:c r="J133" s="88" t="str">
        <x:f>IF(C133="","",F133+G133+H133)</x:f>
      </x:c>
      <x:c r="K133" s="88" t="str">
        <x:f>IF(C133="","",MAX(0,SUMIFS(SONDERZAHLUNGEN!$E$9:$E$128,SONDERZAHLUNGEN!$B$9:$B$128,C133,SONDERZAHLUNGEN!$C$9:$C$128,A133,SONDERZAHLUNGEN!$H$9:$H$128,"OK",SONDERZAHLUNGEN!$F$9:$F$128,"Ja")-G133))</x:f>
      </x:c>
    </x:row>
    <x:row r="134" ht="19" customHeight="1">
      <x:c r="A134" s="90" t="n">
        <x:f>MONATSBUDGET!$A$13</x:f>
        <x:v>46388</x:v>
      </x:c>
      <x:c r="B134" t="n">
        <x:f>15</x:f>
        <x:v>15</x:v>
      </x:c>
      <x:c r="C134" t="str">
        <x:f>IF($N$23="","",$N$23)</x:f>
      </x:c>
      <x:c r="D134" s="88" t="str">
        <x:f>IF(C134="","",I114)</x:f>
      </x:c>
      <x:c r="E134" s="88" t="str">
        <x:f>IF(C134="","",ROUND(D134*$P$23/12,2))</x:f>
      </x:c>
      <x:c r="F134" s="88" t="str">
        <x:f>IF(C134="","",MIN(D134+E134,$Q$23))</x:f>
      </x:c>
      <x:c r="G134" s="88" t="str">
        <x:f>IF(C134="","",MIN(MAX(0,D134+E134-F134),SUMIFS(SONDERZAHLUNGEN!$E$9:$E$128,SONDERZAHLUNGEN!$B$9:$B$128,C134,SONDERZAHLUNGEN!$C$9:$C$128,A134,SONDERZAHLUNGEN!$H$9:$H$128,"OK",SONDERZAHLUNGEN!$F$9:$F$128,"Ja")))</x:f>
      </x:c>
      <x:c r="H134" s="88" t="str">
        <x:f>IF(C134="","",MIN(MAX(0,D134+E134-F134-G134),MAX(0,IF(MONATSBUDGET!$C$13="",0,MONATSBUDGET!$C$13)-SUM(F120:F139)-SUM(H120:H133))))</x:f>
      </x:c>
      <x:c r="I134" s="88" t="str">
        <x:f>IF(C134="","",MAX(0,ROUND(D134+E134-F134-G134-H134,2)))</x:f>
      </x:c>
      <x:c r="J134" s="88" t="str">
        <x:f>IF(C134="","",F134+G134+H134)</x:f>
      </x:c>
      <x:c r="K134" s="88" t="str">
        <x:f>IF(C134="","",MAX(0,SUMIFS(SONDERZAHLUNGEN!$E$9:$E$128,SONDERZAHLUNGEN!$B$9:$B$128,C134,SONDERZAHLUNGEN!$C$9:$C$128,A134,SONDERZAHLUNGEN!$H$9:$H$128,"OK",SONDERZAHLUNGEN!$F$9:$F$128,"Ja")-G134))</x:f>
      </x:c>
    </x:row>
    <x:row r="135" ht="19" customHeight="1">
      <x:c r="A135" s="90" t="n">
        <x:f>MONATSBUDGET!$A$13</x:f>
        <x:v>46388</x:v>
      </x:c>
      <x:c r="B135" t="n">
        <x:f>16</x:f>
        <x:v>16</x:v>
      </x:c>
      <x:c r="C135" t="str">
        <x:f>IF($N$24="","",$N$24)</x:f>
      </x:c>
      <x:c r="D135" s="88" t="str">
        <x:f>IF(C135="","",I115)</x:f>
      </x:c>
      <x:c r="E135" s="88" t="str">
        <x:f>IF(C135="","",ROUND(D135*$P$24/12,2))</x:f>
      </x:c>
      <x:c r="F135" s="88" t="str">
        <x:f>IF(C135="","",MIN(D135+E135,$Q$24))</x:f>
      </x:c>
      <x:c r="G135" s="88" t="str">
        <x:f>IF(C135="","",MIN(MAX(0,D135+E135-F135),SUMIFS(SONDERZAHLUNGEN!$E$9:$E$128,SONDERZAHLUNGEN!$B$9:$B$128,C135,SONDERZAHLUNGEN!$C$9:$C$128,A135,SONDERZAHLUNGEN!$H$9:$H$128,"OK",SONDERZAHLUNGEN!$F$9:$F$128,"Ja")))</x:f>
      </x:c>
      <x:c r="H135" s="88" t="str">
        <x:f>IF(C135="","",MIN(MAX(0,D135+E135-F135-G135),MAX(0,IF(MONATSBUDGET!$C$13="",0,MONATSBUDGET!$C$13)-SUM(F120:F139)-SUM(H120:H134))))</x:f>
      </x:c>
      <x:c r="I135" s="88" t="str">
        <x:f>IF(C135="","",MAX(0,ROUND(D135+E135-F135-G135-H135,2)))</x:f>
      </x:c>
      <x:c r="J135" s="88" t="str">
        <x:f>IF(C135="","",F135+G135+H135)</x:f>
      </x:c>
      <x:c r="K135" s="88" t="str">
        <x:f>IF(C135="","",MAX(0,SUMIFS(SONDERZAHLUNGEN!$E$9:$E$128,SONDERZAHLUNGEN!$B$9:$B$128,C135,SONDERZAHLUNGEN!$C$9:$C$128,A135,SONDERZAHLUNGEN!$H$9:$H$128,"OK",SONDERZAHLUNGEN!$F$9:$F$128,"Ja")-G135))</x:f>
      </x:c>
    </x:row>
    <x:row r="136" ht="19" customHeight="1">
      <x:c r="A136" s="90" t="n">
        <x:f>MONATSBUDGET!$A$13</x:f>
        <x:v>46388</x:v>
      </x:c>
      <x:c r="B136" t="n">
        <x:f>17</x:f>
        <x:v>17</x:v>
      </x:c>
      <x:c r="C136" t="str">
        <x:f>IF($N$25="","",$N$25)</x:f>
      </x:c>
      <x:c r="D136" s="88" t="str">
        <x:f>IF(C136="","",I116)</x:f>
      </x:c>
      <x:c r="E136" s="88" t="str">
        <x:f>IF(C136="","",ROUND(D136*$P$25/12,2))</x:f>
      </x:c>
      <x:c r="F136" s="88" t="str">
        <x:f>IF(C136="","",MIN(D136+E136,$Q$25))</x:f>
      </x:c>
      <x:c r="G136" s="88" t="str">
        <x:f>IF(C136="","",MIN(MAX(0,D136+E136-F136),SUMIFS(SONDERZAHLUNGEN!$E$9:$E$128,SONDERZAHLUNGEN!$B$9:$B$128,C136,SONDERZAHLUNGEN!$C$9:$C$128,A136,SONDERZAHLUNGEN!$H$9:$H$128,"OK",SONDERZAHLUNGEN!$F$9:$F$128,"Ja")))</x:f>
      </x:c>
      <x:c r="H136" s="88" t="str">
        <x:f>IF(C136="","",MIN(MAX(0,D136+E136-F136-G136),MAX(0,IF(MONATSBUDGET!$C$13="",0,MONATSBUDGET!$C$13)-SUM(F120:F139)-SUM(H120:H135))))</x:f>
      </x:c>
      <x:c r="I136" s="88" t="str">
        <x:f>IF(C136="","",MAX(0,ROUND(D136+E136-F136-G136-H136,2)))</x:f>
      </x:c>
      <x:c r="J136" s="88" t="str">
        <x:f>IF(C136="","",F136+G136+H136)</x:f>
      </x:c>
      <x:c r="K136" s="88" t="str">
        <x:f>IF(C136="","",MAX(0,SUMIFS(SONDERZAHLUNGEN!$E$9:$E$128,SONDERZAHLUNGEN!$B$9:$B$128,C136,SONDERZAHLUNGEN!$C$9:$C$128,A136,SONDERZAHLUNGEN!$H$9:$H$128,"OK",SONDERZAHLUNGEN!$F$9:$F$128,"Ja")-G136))</x:f>
      </x:c>
    </x:row>
    <x:row r="137" ht="19" customHeight="1">
      <x:c r="A137" s="90" t="n">
        <x:f>MONATSBUDGET!$A$13</x:f>
        <x:v>46388</x:v>
      </x:c>
      <x:c r="B137" t="n">
        <x:f>18</x:f>
        <x:v>18</x:v>
      </x:c>
      <x:c r="C137" t="str">
        <x:f>IF($N$26="","",$N$26)</x:f>
      </x:c>
      <x:c r="D137" s="88" t="str">
        <x:f>IF(C137="","",I117)</x:f>
      </x:c>
      <x:c r="E137" s="88" t="str">
        <x:f>IF(C137="","",ROUND(D137*$P$26/12,2))</x:f>
      </x:c>
      <x:c r="F137" s="88" t="str">
        <x:f>IF(C137="","",MIN(D137+E137,$Q$26))</x:f>
      </x:c>
      <x:c r="G137" s="88" t="str">
        <x:f>IF(C137="","",MIN(MAX(0,D137+E137-F137),SUMIFS(SONDERZAHLUNGEN!$E$9:$E$128,SONDERZAHLUNGEN!$B$9:$B$128,C137,SONDERZAHLUNGEN!$C$9:$C$128,A137,SONDERZAHLUNGEN!$H$9:$H$128,"OK",SONDERZAHLUNGEN!$F$9:$F$128,"Ja")))</x:f>
      </x:c>
      <x:c r="H137" s="88" t="str">
        <x:f>IF(C137="","",MIN(MAX(0,D137+E137-F137-G137),MAX(0,IF(MONATSBUDGET!$C$13="",0,MONATSBUDGET!$C$13)-SUM(F120:F139)-SUM(H120:H136))))</x:f>
      </x:c>
      <x:c r="I137" s="88" t="str">
        <x:f>IF(C137="","",MAX(0,ROUND(D137+E137-F137-G137-H137,2)))</x:f>
      </x:c>
      <x:c r="J137" s="88" t="str">
        <x:f>IF(C137="","",F137+G137+H137)</x:f>
      </x:c>
      <x:c r="K137" s="88" t="str">
        <x:f>IF(C137="","",MAX(0,SUMIFS(SONDERZAHLUNGEN!$E$9:$E$128,SONDERZAHLUNGEN!$B$9:$B$128,C137,SONDERZAHLUNGEN!$C$9:$C$128,A137,SONDERZAHLUNGEN!$H$9:$H$128,"OK",SONDERZAHLUNGEN!$F$9:$F$128,"Ja")-G137))</x:f>
      </x:c>
    </x:row>
    <x:row r="138" ht="19" customHeight="1">
      <x:c r="A138" s="90" t="n">
        <x:f>MONATSBUDGET!$A$13</x:f>
        <x:v>46388</x:v>
      </x:c>
      <x:c r="B138" t="n">
        <x:f>19</x:f>
        <x:v>19</x:v>
      </x:c>
      <x:c r="C138" t="str">
        <x:f>IF($N$27="","",$N$27)</x:f>
      </x:c>
      <x:c r="D138" s="88" t="str">
        <x:f>IF(C138="","",I118)</x:f>
      </x:c>
      <x:c r="E138" s="88" t="str">
        <x:f>IF(C138="","",ROUND(D138*$P$27/12,2))</x:f>
      </x:c>
      <x:c r="F138" s="88" t="str">
        <x:f>IF(C138="","",MIN(D138+E138,$Q$27))</x:f>
      </x:c>
      <x:c r="G138" s="88" t="str">
        <x:f>IF(C138="","",MIN(MAX(0,D138+E138-F138),SUMIFS(SONDERZAHLUNGEN!$E$9:$E$128,SONDERZAHLUNGEN!$B$9:$B$128,C138,SONDERZAHLUNGEN!$C$9:$C$128,A138,SONDERZAHLUNGEN!$H$9:$H$128,"OK",SONDERZAHLUNGEN!$F$9:$F$128,"Ja")))</x:f>
      </x:c>
      <x:c r="H138" s="88" t="str">
        <x:f>IF(C138="","",MIN(MAX(0,D138+E138-F138-G138),MAX(0,IF(MONATSBUDGET!$C$13="",0,MONATSBUDGET!$C$13)-SUM(F120:F139)-SUM(H120:H137))))</x:f>
      </x:c>
      <x:c r="I138" s="88" t="str">
        <x:f>IF(C138="","",MAX(0,ROUND(D138+E138-F138-G138-H138,2)))</x:f>
      </x:c>
      <x:c r="J138" s="88" t="str">
        <x:f>IF(C138="","",F138+G138+H138)</x:f>
      </x:c>
      <x:c r="K138" s="88" t="str">
        <x:f>IF(C138="","",MAX(0,SUMIFS(SONDERZAHLUNGEN!$E$9:$E$128,SONDERZAHLUNGEN!$B$9:$B$128,C138,SONDERZAHLUNGEN!$C$9:$C$128,A138,SONDERZAHLUNGEN!$H$9:$H$128,"OK",SONDERZAHLUNGEN!$F$9:$F$128,"Ja")-G138))</x:f>
      </x:c>
    </x:row>
    <x:row r="139" ht="19" customHeight="1">
      <x:c r="A139" s="90" t="n">
        <x:f>MONATSBUDGET!$A$13</x:f>
        <x:v>46388</x:v>
      </x:c>
      <x:c r="B139" t="n">
        <x:f>20</x:f>
        <x:v>20</x:v>
      </x:c>
      <x:c r="C139" t="str">
        <x:f>IF($N$28="","",$N$28)</x:f>
      </x:c>
      <x:c r="D139" s="88" t="str">
        <x:f>IF(C139="","",I119)</x:f>
      </x:c>
      <x:c r="E139" s="88" t="str">
        <x:f>IF(C139="","",ROUND(D139*$P$28/12,2))</x:f>
      </x:c>
      <x:c r="F139" s="88" t="str">
        <x:f>IF(C139="","",MIN(D139+E139,$Q$28))</x:f>
      </x:c>
      <x:c r="G139" s="88" t="str">
        <x:f>IF(C139="","",MIN(MAX(0,D139+E139-F139),SUMIFS(SONDERZAHLUNGEN!$E$9:$E$128,SONDERZAHLUNGEN!$B$9:$B$128,C139,SONDERZAHLUNGEN!$C$9:$C$128,A139,SONDERZAHLUNGEN!$H$9:$H$128,"OK",SONDERZAHLUNGEN!$F$9:$F$128,"Ja")))</x:f>
      </x:c>
      <x:c r="H139" s="88" t="str">
        <x:f>IF(C139="","",MIN(MAX(0,D139+E139-F139-G139),MAX(0,IF(MONATSBUDGET!$C$13="",0,MONATSBUDGET!$C$13)-SUM(F120:F139)-SUM(H120:H138))))</x:f>
      </x:c>
      <x:c r="I139" s="88" t="str">
        <x:f>IF(C139="","",MAX(0,ROUND(D139+E139-F139-G139-H139,2)))</x:f>
      </x:c>
      <x:c r="J139" s="88" t="str">
        <x:f>IF(C139="","",F139+G139+H139)</x:f>
      </x:c>
      <x:c r="K139" s="88" t="str">
        <x:f>IF(C139="","",MAX(0,SUMIFS(SONDERZAHLUNGEN!$E$9:$E$128,SONDERZAHLUNGEN!$B$9:$B$128,C139,SONDERZAHLUNGEN!$C$9:$C$128,A139,SONDERZAHLUNGEN!$H$9:$H$128,"OK",SONDERZAHLUNGEN!$F$9:$F$128,"Ja")-G139))</x:f>
      </x:c>
    </x:row>
    <x:row r="140" ht="19" customHeight="1">
      <x:c r="A140" s="90" t="n">
        <x:f>MONATSBUDGET!$A$14</x:f>
        <x:v>46419</x:v>
      </x:c>
      <x:c r="B140" t="n">
        <x:f>1</x:f>
        <x:v>1</x:v>
      </x:c>
      <x:c r="C140" t="str">
        <x:f>IF($N$9="","",$N$9)</x:f>
      </x:c>
      <x:c r="D140" s="88" t="str">
        <x:f>IF(C140="","",I120)</x:f>
      </x:c>
      <x:c r="E140" s="88" t="str">
        <x:f>IF(C140="","",ROUND(D140*$P$9/12,2))</x:f>
      </x:c>
      <x:c r="F140" s="88" t="str">
        <x:f>IF(C140="","",MIN(D140+E140,$Q$9))</x:f>
      </x:c>
      <x:c r="G140" s="88" t="str">
        <x:f>IF(C140="","",MIN(MAX(0,D140+E140-F140),SUMIFS(SONDERZAHLUNGEN!$E$9:$E$128,SONDERZAHLUNGEN!$B$9:$B$128,C140,SONDERZAHLUNGEN!$C$9:$C$128,A140,SONDERZAHLUNGEN!$H$9:$H$128,"OK",SONDERZAHLUNGEN!$F$9:$F$128,"Ja")))</x:f>
      </x:c>
      <x:c r="H140" s="88" t="str">
        <x:f>IF(C140="","",MIN(MAX(0,D140+E140-F140-G140),MAX(0,IF(MONATSBUDGET!$C$14="",0,MONATSBUDGET!$C$14)-SUM(F140:F159)-0)))</x:f>
      </x:c>
      <x:c r="I140" s="88" t="str">
        <x:f>IF(C140="","",MAX(0,ROUND(D140+E140-F140-G140-H140,2)))</x:f>
      </x:c>
      <x:c r="J140" s="88" t="str">
        <x:f>IF(C140="","",F140+G140+H140)</x:f>
      </x:c>
      <x:c r="K140" s="88" t="str">
        <x:f>IF(C140="","",MAX(0,SUMIFS(SONDERZAHLUNGEN!$E$9:$E$128,SONDERZAHLUNGEN!$B$9:$B$128,C140,SONDERZAHLUNGEN!$C$9:$C$128,A140,SONDERZAHLUNGEN!$H$9:$H$128,"OK",SONDERZAHLUNGEN!$F$9:$F$128,"Ja")-G140))</x:f>
      </x:c>
    </x:row>
    <x:row r="141" ht="19" customHeight="1">
      <x:c r="A141" s="90" t="n">
        <x:f>MONATSBUDGET!$A$14</x:f>
        <x:v>46419</x:v>
      </x:c>
      <x:c r="B141" t="n">
        <x:f>2</x:f>
        <x:v>2</x:v>
      </x:c>
      <x:c r="C141" t="str">
        <x:f>IF($N$10="","",$N$10)</x:f>
      </x:c>
      <x:c r="D141" s="88" t="str">
        <x:f>IF(C141="","",I121)</x:f>
      </x:c>
      <x:c r="E141" s="88" t="str">
        <x:f>IF(C141="","",ROUND(D141*$P$10/12,2))</x:f>
      </x:c>
      <x:c r="F141" s="88" t="str">
        <x:f>IF(C141="","",MIN(D141+E141,$Q$10))</x:f>
      </x:c>
      <x:c r="G141" s="88" t="str">
        <x:f>IF(C141="","",MIN(MAX(0,D141+E141-F141),SUMIFS(SONDERZAHLUNGEN!$E$9:$E$128,SONDERZAHLUNGEN!$B$9:$B$128,C141,SONDERZAHLUNGEN!$C$9:$C$128,A141,SONDERZAHLUNGEN!$H$9:$H$128,"OK",SONDERZAHLUNGEN!$F$9:$F$128,"Ja")))</x:f>
      </x:c>
      <x:c r="H141" s="88" t="str">
        <x:f>IF(C141="","",MIN(MAX(0,D141+E141-F141-G141),MAX(0,IF(MONATSBUDGET!$C$14="",0,MONATSBUDGET!$C$14)-SUM(F140:F159)-SUM(H140:H140))))</x:f>
      </x:c>
      <x:c r="I141" s="88" t="str">
        <x:f>IF(C141="","",MAX(0,ROUND(D141+E141-F141-G141-H141,2)))</x:f>
      </x:c>
      <x:c r="J141" s="88" t="str">
        <x:f>IF(C141="","",F141+G141+H141)</x:f>
      </x:c>
      <x:c r="K141" s="88" t="str">
        <x:f>IF(C141="","",MAX(0,SUMIFS(SONDERZAHLUNGEN!$E$9:$E$128,SONDERZAHLUNGEN!$B$9:$B$128,C141,SONDERZAHLUNGEN!$C$9:$C$128,A141,SONDERZAHLUNGEN!$H$9:$H$128,"OK",SONDERZAHLUNGEN!$F$9:$F$128,"Ja")-G141))</x:f>
      </x:c>
    </x:row>
    <x:row r="142" ht="19" customHeight="1">
      <x:c r="A142" s="90" t="n">
        <x:f>MONATSBUDGET!$A$14</x:f>
        <x:v>46419</x:v>
      </x:c>
      <x:c r="B142" t="n">
        <x:f>3</x:f>
        <x:v>3</x:v>
      </x:c>
      <x:c r="C142" t="str">
        <x:f>IF($N$11="","",$N$11)</x:f>
      </x:c>
      <x:c r="D142" s="88" t="str">
        <x:f>IF(C142="","",I122)</x:f>
      </x:c>
      <x:c r="E142" s="88" t="str">
        <x:f>IF(C142="","",ROUND(D142*$P$11/12,2))</x:f>
      </x:c>
      <x:c r="F142" s="88" t="str">
        <x:f>IF(C142="","",MIN(D142+E142,$Q$11))</x:f>
      </x:c>
      <x:c r="G142" s="88" t="str">
        <x:f>IF(C142="","",MIN(MAX(0,D142+E142-F142),SUMIFS(SONDERZAHLUNGEN!$E$9:$E$128,SONDERZAHLUNGEN!$B$9:$B$128,C142,SONDERZAHLUNGEN!$C$9:$C$128,A142,SONDERZAHLUNGEN!$H$9:$H$128,"OK",SONDERZAHLUNGEN!$F$9:$F$128,"Ja")))</x:f>
      </x:c>
      <x:c r="H142" s="88" t="str">
        <x:f>IF(C142="","",MIN(MAX(0,D142+E142-F142-G142),MAX(0,IF(MONATSBUDGET!$C$14="",0,MONATSBUDGET!$C$14)-SUM(F140:F159)-SUM(H140:H141))))</x:f>
      </x:c>
      <x:c r="I142" s="88" t="str">
        <x:f>IF(C142="","",MAX(0,ROUND(D142+E142-F142-G142-H142,2)))</x:f>
      </x:c>
      <x:c r="J142" s="88" t="str">
        <x:f>IF(C142="","",F142+G142+H142)</x:f>
      </x:c>
      <x:c r="K142" s="88" t="str">
        <x:f>IF(C142="","",MAX(0,SUMIFS(SONDERZAHLUNGEN!$E$9:$E$128,SONDERZAHLUNGEN!$B$9:$B$128,C142,SONDERZAHLUNGEN!$C$9:$C$128,A142,SONDERZAHLUNGEN!$H$9:$H$128,"OK",SONDERZAHLUNGEN!$F$9:$F$128,"Ja")-G142))</x:f>
      </x:c>
    </x:row>
    <x:row r="143" ht="19" customHeight="1">
      <x:c r="A143" s="90" t="n">
        <x:f>MONATSBUDGET!$A$14</x:f>
        <x:v>46419</x:v>
      </x:c>
      <x:c r="B143" t="n">
        <x:f>4</x:f>
        <x:v>4</x:v>
      </x:c>
      <x:c r="C143" t="str">
        <x:f>IF($N$12="","",$N$12)</x:f>
      </x:c>
      <x:c r="D143" s="88" t="str">
        <x:f>IF(C143="","",I123)</x:f>
      </x:c>
      <x:c r="E143" s="88" t="str">
        <x:f>IF(C143="","",ROUND(D143*$P$12/12,2))</x:f>
      </x:c>
      <x:c r="F143" s="88" t="str">
        <x:f>IF(C143="","",MIN(D143+E143,$Q$12))</x:f>
      </x:c>
      <x:c r="G143" s="88" t="str">
        <x:f>IF(C143="","",MIN(MAX(0,D143+E143-F143),SUMIFS(SONDERZAHLUNGEN!$E$9:$E$128,SONDERZAHLUNGEN!$B$9:$B$128,C143,SONDERZAHLUNGEN!$C$9:$C$128,A143,SONDERZAHLUNGEN!$H$9:$H$128,"OK",SONDERZAHLUNGEN!$F$9:$F$128,"Ja")))</x:f>
      </x:c>
      <x:c r="H143" s="88" t="str">
        <x:f>IF(C143="","",MIN(MAX(0,D143+E143-F143-G143),MAX(0,IF(MONATSBUDGET!$C$14="",0,MONATSBUDGET!$C$14)-SUM(F140:F159)-SUM(H140:H142))))</x:f>
      </x:c>
      <x:c r="I143" s="88" t="str">
        <x:f>IF(C143="","",MAX(0,ROUND(D143+E143-F143-G143-H143,2)))</x:f>
      </x:c>
      <x:c r="J143" s="88" t="str">
        <x:f>IF(C143="","",F143+G143+H143)</x:f>
      </x:c>
      <x:c r="K143" s="88" t="str">
        <x:f>IF(C143="","",MAX(0,SUMIFS(SONDERZAHLUNGEN!$E$9:$E$128,SONDERZAHLUNGEN!$B$9:$B$128,C143,SONDERZAHLUNGEN!$C$9:$C$128,A143,SONDERZAHLUNGEN!$H$9:$H$128,"OK",SONDERZAHLUNGEN!$F$9:$F$128,"Ja")-G143))</x:f>
      </x:c>
    </x:row>
    <x:row r="144" ht="19" customHeight="1">
      <x:c r="A144" s="90" t="n">
        <x:f>MONATSBUDGET!$A$14</x:f>
        <x:v>46419</x:v>
      </x:c>
      <x:c r="B144" t="n">
        <x:f>5</x:f>
        <x:v>5</x:v>
      </x:c>
      <x:c r="C144" t="str">
        <x:f>IF($N$13="","",$N$13)</x:f>
      </x:c>
      <x:c r="D144" s="88" t="str">
        <x:f>IF(C144="","",I124)</x:f>
      </x:c>
      <x:c r="E144" s="88" t="str">
        <x:f>IF(C144="","",ROUND(D144*$P$13/12,2))</x:f>
      </x:c>
      <x:c r="F144" s="88" t="str">
        <x:f>IF(C144="","",MIN(D144+E144,$Q$13))</x:f>
      </x:c>
      <x:c r="G144" s="88" t="str">
        <x:f>IF(C144="","",MIN(MAX(0,D144+E144-F144),SUMIFS(SONDERZAHLUNGEN!$E$9:$E$128,SONDERZAHLUNGEN!$B$9:$B$128,C144,SONDERZAHLUNGEN!$C$9:$C$128,A144,SONDERZAHLUNGEN!$H$9:$H$128,"OK",SONDERZAHLUNGEN!$F$9:$F$128,"Ja")))</x:f>
      </x:c>
      <x:c r="H144" s="88" t="str">
        <x:f>IF(C144="","",MIN(MAX(0,D144+E144-F144-G144),MAX(0,IF(MONATSBUDGET!$C$14="",0,MONATSBUDGET!$C$14)-SUM(F140:F159)-SUM(H140:H143))))</x:f>
      </x:c>
      <x:c r="I144" s="88" t="str">
        <x:f>IF(C144="","",MAX(0,ROUND(D144+E144-F144-G144-H144,2)))</x:f>
      </x:c>
      <x:c r="J144" s="88" t="str">
        <x:f>IF(C144="","",F144+G144+H144)</x:f>
      </x:c>
      <x:c r="K144" s="88" t="str">
        <x:f>IF(C144="","",MAX(0,SUMIFS(SONDERZAHLUNGEN!$E$9:$E$128,SONDERZAHLUNGEN!$B$9:$B$128,C144,SONDERZAHLUNGEN!$C$9:$C$128,A144,SONDERZAHLUNGEN!$H$9:$H$128,"OK",SONDERZAHLUNGEN!$F$9:$F$128,"Ja")-G144))</x:f>
      </x:c>
    </x:row>
    <x:row r="145" ht="19" customHeight="1">
      <x:c r="A145" s="90" t="n">
        <x:f>MONATSBUDGET!$A$14</x:f>
        <x:v>46419</x:v>
      </x:c>
      <x:c r="B145" t="n">
        <x:f>6</x:f>
        <x:v>6</x:v>
      </x:c>
      <x:c r="C145" t="str">
        <x:f>IF($N$14="","",$N$14)</x:f>
      </x:c>
      <x:c r="D145" s="88" t="str">
        <x:f>IF(C145="","",I125)</x:f>
      </x:c>
      <x:c r="E145" s="88" t="str">
        <x:f>IF(C145="","",ROUND(D145*$P$14/12,2))</x:f>
      </x:c>
      <x:c r="F145" s="88" t="str">
        <x:f>IF(C145="","",MIN(D145+E145,$Q$14))</x:f>
      </x:c>
      <x:c r="G145" s="88" t="str">
        <x:f>IF(C145="","",MIN(MAX(0,D145+E145-F145),SUMIFS(SONDERZAHLUNGEN!$E$9:$E$128,SONDERZAHLUNGEN!$B$9:$B$128,C145,SONDERZAHLUNGEN!$C$9:$C$128,A145,SONDERZAHLUNGEN!$H$9:$H$128,"OK",SONDERZAHLUNGEN!$F$9:$F$128,"Ja")))</x:f>
      </x:c>
      <x:c r="H145" s="88" t="str">
        <x:f>IF(C145="","",MIN(MAX(0,D145+E145-F145-G145),MAX(0,IF(MONATSBUDGET!$C$14="",0,MONATSBUDGET!$C$14)-SUM(F140:F159)-SUM(H140:H144))))</x:f>
      </x:c>
      <x:c r="I145" s="88" t="str">
        <x:f>IF(C145="","",MAX(0,ROUND(D145+E145-F145-G145-H145,2)))</x:f>
      </x:c>
      <x:c r="J145" s="88" t="str">
        <x:f>IF(C145="","",F145+G145+H145)</x:f>
      </x:c>
      <x:c r="K145" s="88" t="str">
        <x:f>IF(C145="","",MAX(0,SUMIFS(SONDERZAHLUNGEN!$E$9:$E$128,SONDERZAHLUNGEN!$B$9:$B$128,C145,SONDERZAHLUNGEN!$C$9:$C$128,A145,SONDERZAHLUNGEN!$H$9:$H$128,"OK",SONDERZAHLUNGEN!$F$9:$F$128,"Ja")-G145))</x:f>
      </x:c>
    </x:row>
    <x:row r="146" ht="19" customHeight="1">
      <x:c r="A146" s="90" t="n">
        <x:f>MONATSBUDGET!$A$14</x:f>
        <x:v>46419</x:v>
      </x:c>
      <x:c r="B146" t="n">
        <x:f>7</x:f>
        <x:v>7</x:v>
      </x:c>
      <x:c r="C146" t="str">
        <x:f>IF($N$15="","",$N$15)</x:f>
      </x:c>
      <x:c r="D146" s="88" t="str">
        <x:f>IF(C146="","",I126)</x:f>
      </x:c>
      <x:c r="E146" s="88" t="str">
        <x:f>IF(C146="","",ROUND(D146*$P$15/12,2))</x:f>
      </x:c>
      <x:c r="F146" s="88" t="str">
        <x:f>IF(C146="","",MIN(D146+E146,$Q$15))</x:f>
      </x:c>
      <x:c r="G146" s="88" t="str">
        <x:f>IF(C146="","",MIN(MAX(0,D146+E146-F146),SUMIFS(SONDERZAHLUNGEN!$E$9:$E$128,SONDERZAHLUNGEN!$B$9:$B$128,C146,SONDERZAHLUNGEN!$C$9:$C$128,A146,SONDERZAHLUNGEN!$H$9:$H$128,"OK",SONDERZAHLUNGEN!$F$9:$F$128,"Ja")))</x:f>
      </x:c>
      <x:c r="H146" s="88" t="str">
        <x:f>IF(C146="","",MIN(MAX(0,D146+E146-F146-G146),MAX(0,IF(MONATSBUDGET!$C$14="",0,MONATSBUDGET!$C$14)-SUM(F140:F159)-SUM(H140:H145))))</x:f>
      </x:c>
      <x:c r="I146" s="88" t="str">
        <x:f>IF(C146="","",MAX(0,ROUND(D146+E146-F146-G146-H146,2)))</x:f>
      </x:c>
      <x:c r="J146" s="88" t="str">
        <x:f>IF(C146="","",F146+G146+H146)</x:f>
      </x:c>
      <x:c r="K146" s="88" t="str">
        <x:f>IF(C146="","",MAX(0,SUMIFS(SONDERZAHLUNGEN!$E$9:$E$128,SONDERZAHLUNGEN!$B$9:$B$128,C146,SONDERZAHLUNGEN!$C$9:$C$128,A146,SONDERZAHLUNGEN!$H$9:$H$128,"OK",SONDERZAHLUNGEN!$F$9:$F$128,"Ja")-G146))</x:f>
      </x:c>
    </x:row>
    <x:row r="147" ht="19" customHeight="1">
      <x:c r="A147" s="90" t="n">
        <x:f>MONATSBUDGET!$A$14</x:f>
        <x:v>46419</x:v>
      </x:c>
      <x:c r="B147" t="n">
        <x:f>8</x:f>
        <x:v>8</x:v>
      </x:c>
      <x:c r="C147" t="str">
        <x:f>IF($N$16="","",$N$16)</x:f>
      </x:c>
      <x:c r="D147" s="88" t="str">
        <x:f>IF(C147="","",I127)</x:f>
      </x:c>
      <x:c r="E147" s="88" t="str">
        <x:f>IF(C147="","",ROUND(D147*$P$16/12,2))</x:f>
      </x:c>
      <x:c r="F147" s="88" t="str">
        <x:f>IF(C147="","",MIN(D147+E147,$Q$16))</x:f>
      </x:c>
      <x:c r="G147" s="88" t="str">
        <x:f>IF(C147="","",MIN(MAX(0,D147+E147-F147),SUMIFS(SONDERZAHLUNGEN!$E$9:$E$128,SONDERZAHLUNGEN!$B$9:$B$128,C147,SONDERZAHLUNGEN!$C$9:$C$128,A147,SONDERZAHLUNGEN!$H$9:$H$128,"OK",SONDERZAHLUNGEN!$F$9:$F$128,"Ja")))</x:f>
      </x:c>
      <x:c r="H147" s="88" t="str">
        <x:f>IF(C147="","",MIN(MAX(0,D147+E147-F147-G147),MAX(0,IF(MONATSBUDGET!$C$14="",0,MONATSBUDGET!$C$14)-SUM(F140:F159)-SUM(H140:H146))))</x:f>
      </x:c>
      <x:c r="I147" s="88" t="str">
        <x:f>IF(C147="","",MAX(0,ROUND(D147+E147-F147-G147-H147,2)))</x:f>
      </x:c>
      <x:c r="J147" s="88" t="str">
        <x:f>IF(C147="","",F147+G147+H147)</x:f>
      </x:c>
      <x:c r="K147" s="88" t="str">
        <x:f>IF(C147="","",MAX(0,SUMIFS(SONDERZAHLUNGEN!$E$9:$E$128,SONDERZAHLUNGEN!$B$9:$B$128,C147,SONDERZAHLUNGEN!$C$9:$C$128,A147,SONDERZAHLUNGEN!$H$9:$H$128,"OK",SONDERZAHLUNGEN!$F$9:$F$128,"Ja")-G147))</x:f>
      </x:c>
    </x:row>
    <x:row r="148" ht="19" customHeight="1">
      <x:c r="A148" s="90" t="n">
        <x:f>MONATSBUDGET!$A$14</x:f>
        <x:v>46419</x:v>
      </x:c>
      <x:c r="B148" t="n">
        <x:f>9</x:f>
        <x:v>9</x:v>
      </x:c>
      <x:c r="C148" t="str">
        <x:f>IF($N$17="","",$N$17)</x:f>
      </x:c>
      <x:c r="D148" s="88" t="str">
        <x:f>IF(C148="","",I128)</x:f>
      </x:c>
      <x:c r="E148" s="88" t="str">
        <x:f>IF(C148="","",ROUND(D148*$P$17/12,2))</x:f>
      </x:c>
      <x:c r="F148" s="88" t="str">
        <x:f>IF(C148="","",MIN(D148+E148,$Q$17))</x:f>
      </x:c>
      <x:c r="G148" s="88" t="str">
        <x:f>IF(C148="","",MIN(MAX(0,D148+E148-F148),SUMIFS(SONDERZAHLUNGEN!$E$9:$E$128,SONDERZAHLUNGEN!$B$9:$B$128,C148,SONDERZAHLUNGEN!$C$9:$C$128,A148,SONDERZAHLUNGEN!$H$9:$H$128,"OK",SONDERZAHLUNGEN!$F$9:$F$128,"Ja")))</x:f>
      </x:c>
      <x:c r="H148" s="88" t="str">
        <x:f>IF(C148="","",MIN(MAX(0,D148+E148-F148-G148),MAX(0,IF(MONATSBUDGET!$C$14="",0,MONATSBUDGET!$C$14)-SUM(F140:F159)-SUM(H140:H147))))</x:f>
      </x:c>
      <x:c r="I148" s="88" t="str">
        <x:f>IF(C148="","",MAX(0,ROUND(D148+E148-F148-G148-H148,2)))</x:f>
      </x:c>
      <x:c r="J148" s="88" t="str">
        <x:f>IF(C148="","",F148+G148+H148)</x:f>
      </x:c>
      <x:c r="K148" s="88" t="str">
        <x:f>IF(C148="","",MAX(0,SUMIFS(SONDERZAHLUNGEN!$E$9:$E$128,SONDERZAHLUNGEN!$B$9:$B$128,C148,SONDERZAHLUNGEN!$C$9:$C$128,A148,SONDERZAHLUNGEN!$H$9:$H$128,"OK",SONDERZAHLUNGEN!$F$9:$F$128,"Ja")-G148))</x:f>
      </x:c>
    </x:row>
    <x:row r="149" ht="19" customHeight="1">
      <x:c r="A149" s="90" t="n">
        <x:f>MONATSBUDGET!$A$14</x:f>
        <x:v>46419</x:v>
      </x:c>
      <x:c r="B149" t="n">
        <x:f>10</x:f>
        <x:v>10</x:v>
      </x:c>
      <x:c r="C149" t="str">
        <x:f>IF($N$18="","",$N$18)</x:f>
      </x:c>
      <x:c r="D149" s="88" t="str">
        <x:f>IF(C149="","",I129)</x:f>
      </x:c>
      <x:c r="E149" s="88" t="str">
        <x:f>IF(C149="","",ROUND(D149*$P$18/12,2))</x:f>
      </x:c>
      <x:c r="F149" s="88" t="str">
        <x:f>IF(C149="","",MIN(D149+E149,$Q$18))</x:f>
      </x:c>
      <x:c r="G149" s="88" t="str">
        <x:f>IF(C149="","",MIN(MAX(0,D149+E149-F149),SUMIFS(SONDERZAHLUNGEN!$E$9:$E$128,SONDERZAHLUNGEN!$B$9:$B$128,C149,SONDERZAHLUNGEN!$C$9:$C$128,A149,SONDERZAHLUNGEN!$H$9:$H$128,"OK",SONDERZAHLUNGEN!$F$9:$F$128,"Ja")))</x:f>
      </x:c>
      <x:c r="H149" s="88" t="str">
        <x:f>IF(C149="","",MIN(MAX(0,D149+E149-F149-G149),MAX(0,IF(MONATSBUDGET!$C$14="",0,MONATSBUDGET!$C$14)-SUM(F140:F159)-SUM(H140:H148))))</x:f>
      </x:c>
      <x:c r="I149" s="88" t="str">
        <x:f>IF(C149="","",MAX(0,ROUND(D149+E149-F149-G149-H149,2)))</x:f>
      </x:c>
      <x:c r="J149" s="88" t="str">
        <x:f>IF(C149="","",F149+G149+H149)</x:f>
      </x:c>
      <x:c r="K149" s="88" t="str">
        <x:f>IF(C149="","",MAX(0,SUMIFS(SONDERZAHLUNGEN!$E$9:$E$128,SONDERZAHLUNGEN!$B$9:$B$128,C149,SONDERZAHLUNGEN!$C$9:$C$128,A149,SONDERZAHLUNGEN!$H$9:$H$128,"OK",SONDERZAHLUNGEN!$F$9:$F$128,"Ja")-G149))</x:f>
      </x:c>
    </x:row>
    <x:row r="150" ht="19" customHeight="1">
      <x:c r="A150" s="90" t="n">
        <x:f>MONATSBUDGET!$A$14</x:f>
        <x:v>46419</x:v>
      </x:c>
      <x:c r="B150" t="n">
        <x:f>11</x:f>
        <x:v>11</x:v>
      </x:c>
      <x:c r="C150" t="str">
        <x:f>IF($N$19="","",$N$19)</x:f>
      </x:c>
      <x:c r="D150" s="88" t="str">
        <x:f>IF(C150="","",I130)</x:f>
      </x:c>
      <x:c r="E150" s="88" t="str">
        <x:f>IF(C150="","",ROUND(D150*$P$19/12,2))</x:f>
      </x:c>
      <x:c r="F150" s="88" t="str">
        <x:f>IF(C150="","",MIN(D150+E150,$Q$19))</x:f>
      </x:c>
      <x:c r="G150" s="88" t="str">
        <x:f>IF(C150="","",MIN(MAX(0,D150+E150-F150),SUMIFS(SONDERZAHLUNGEN!$E$9:$E$128,SONDERZAHLUNGEN!$B$9:$B$128,C150,SONDERZAHLUNGEN!$C$9:$C$128,A150,SONDERZAHLUNGEN!$H$9:$H$128,"OK",SONDERZAHLUNGEN!$F$9:$F$128,"Ja")))</x:f>
      </x:c>
      <x:c r="H150" s="88" t="str">
        <x:f>IF(C150="","",MIN(MAX(0,D150+E150-F150-G150),MAX(0,IF(MONATSBUDGET!$C$14="",0,MONATSBUDGET!$C$14)-SUM(F140:F159)-SUM(H140:H149))))</x:f>
      </x:c>
      <x:c r="I150" s="88" t="str">
        <x:f>IF(C150="","",MAX(0,ROUND(D150+E150-F150-G150-H150,2)))</x:f>
      </x:c>
      <x:c r="J150" s="88" t="str">
        <x:f>IF(C150="","",F150+G150+H150)</x:f>
      </x:c>
      <x:c r="K150" s="88" t="str">
        <x:f>IF(C150="","",MAX(0,SUMIFS(SONDERZAHLUNGEN!$E$9:$E$128,SONDERZAHLUNGEN!$B$9:$B$128,C150,SONDERZAHLUNGEN!$C$9:$C$128,A150,SONDERZAHLUNGEN!$H$9:$H$128,"OK",SONDERZAHLUNGEN!$F$9:$F$128,"Ja")-G150))</x:f>
      </x:c>
    </x:row>
    <x:row r="151" ht="19" customHeight="1">
      <x:c r="A151" s="90" t="n">
        <x:f>MONATSBUDGET!$A$14</x:f>
        <x:v>46419</x:v>
      </x:c>
      <x:c r="B151" t="n">
        <x:f>12</x:f>
        <x:v>12</x:v>
      </x:c>
      <x:c r="C151" t="str">
        <x:f>IF($N$20="","",$N$20)</x:f>
      </x:c>
      <x:c r="D151" s="88" t="str">
        <x:f>IF(C151="","",I131)</x:f>
      </x:c>
      <x:c r="E151" s="88" t="str">
        <x:f>IF(C151="","",ROUND(D151*$P$20/12,2))</x:f>
      </x:c>
      <x:c r="F151" s="88" t="str">
        <x:f>IF(C151="","",MIN(D151+E151,$Q$20))</x:f>
      </x:c>
      <x:c r="G151" s="88" t="str">
        <x:f>IF(C151="","",MIN(MAX(0,D151+E151-F151),SUMIFS(SONDERZAHLUNGEN!$E$9:$E$128,SONDERZAHLUNGEN!$B$9:$B$128,C151,SONDERZAHLUNGEN!$C$9:$C$128,A151,SONDERZAHLUNGEN!$H$9:$H$128,"OK",SONDERZAHLUNGEN!$F$9:$F$128,"Ja")))</x:f>
      </x:c>
      <x:c r="H151" s="88" t="str">
        <x:f>IF(C151="","",MIN(MAX(0,D151+E151-F151-G151),MAX(0,IF(MONATSBUDGET!$C$14="",0,MONATSBUDGET!$C$14)-SUM(F140:F159)-SUM(H140:H150))))</x:f>
      </x:c>
      <x:c r="I151" s="88" t="str">
        <x:f>IF(C151="","",MAX(0,ROUND(D151+E151-F151-G151-H151,2)))</x:f>
      </x:c>
      <x:c r="J151" s="88" t="str">
        <x:f>IF(C151="","",F151+G151+H151)</x:f>
      </x:c>
      <x:c r="K151" s="88" t="str">
        <x:f>IF(C151="","",MAX(0,SUMIFS(SONDERZAHLUNGEN!$E$9:$E$128,SONDERZAHLUNGEN!$B$9:$B$128,C151,SONDERZAHLUNGEN!$C$9:$C$128,A151,SONDERZAHLUNGEN!$H$9:$H$128,"OK",SONDERZAHLUNGEN!$F$9:$F$128,"Ja")-G151))</x:f>
      </x:c>
    </x:row>
    <x:row r="152" ht="19" customHeight="1">
      <x:c r="A152" s="90" t="n">
        <x:f>MONATSBUDGET!$A$14</x:f>
        <x:v>46419</x:v>
      </x:c>
      <x:c r="B152" t="n">
        <x:f>13</x:f>
        <x:v>13</x:v>
      </x:c>
      <x:c r="C152" t="str">
        <x:f>IF($N$21="","",$N$21)</x:f>
      </x:c>
      <x:c r="D152" s="88" t="str">
        <x:f>IF(C152="","",I132)</x:f>
      </x:c>
      <x:c r="E152" s="88" t="str">
        <x:f>IF(C152="","",ROUND(D152*$P$21/12,2))</x:f>
      </x:c>
      <x:c r="F152" s="88" t="str">
        <x:f>IF(C152="","",MIN(D152+E152,$Q$21))</x:f>
      </x:c>
      <x:c r="G152" s="88" t="str">
        <x:f>IF(C152="","",MIN(MAX(0,D152+E152-F152),SUMIFS(SONDERZAHLUNGEN!$E$9:$E$128,SONDERZAHLUNGEN!$B$9:$B$128,C152,SONDERZAHLUNGEN!$C$9:$C$128,A152,SONDERZAHLUNGEN!$H$9:$H$128,"OK",SONDERZAHLUNGEN!$F$9:$F$128,"Ja")))</x:f>
      </x:c>
      <x:c r="H152" s="88" t="str">
        <x:f>IF(C152="","",MIN(MAX(0,D152+E152-F152-G152),MAX(0,IF(MONATSBUDGET!$C$14="",0,MONATSBUDGET!$C$14)-SUM(F140:F159)-SUM(H140:H151))))</x:f>
      </x:c>
      <x:c r="I152" s="88" t="str">
        <x:f>IF(C152="","",MAX(0,ROUND(D152+E152-F152-G152-H152,2)))</x:f>
      </x:c>
      <x:c r="J152" s="88" t="str">
        <x:f>IF(C152="","",F152+G152+H152)</x:f>
      </x:c>
      <x:c r="K152" s="88" t="str">
        <x:f>IF(C152="","",MAX(0,SUMIFS(SONDERZAHLUNGEN!$E$9:$E$128,SONDERZAHLUNGEN!$B$9:$B$128,C152,SONDERZAHLUNGEN!$C$9:$C$128,A152,SONDERZAHLUNGEN!$H$9:$H$128,"OK",SONDERZAHLUNGEN!$F$9:$F$128,"Ja")-G152))</x:f>
      </x:c>
    </x:row>
    <x:row r="153" ht="19" customHeight="1">
      <x:c r="A153" s="90" t="n">
        <x:f>MONATSBUDGET!$A$14</x:f>
        <x:v>46419</x:v>
      </x:c>
      <x:c r="B153" t="n">
        <x:f>14</x:f>
        <x:v>14</x:v>
      </x:c>
      <x:c r="C153" t="str">
        <x:f>IF($N$22="","",$N$22)</x:f>
      </x:c>
      <x:c r="D153" s="88" t="str">
        <x:f>IF(C153="","",I133)</x:f>
      </x:c>
      <x:c r="E153" s="88" t="str">
        <x:f>IF(C153="","",ROUND(D153*$P$22/12,2))</x:f>
      </x:c>
      <x:c r="F153" s="88" t="str">
        <x:f>IF(C153="","",MIN(D153+E153,$Q$22))</x:f>
      </x:c>
      <x:c r="G153" s="88" t="str">
        <x:f>IF(C153="","",MIN(MAX(0,D153+E153-F153),SUMIFS(SONDERZAHLUNGEN!$E$9:$E$128,SONDERZAHLUNGEN!$B$9:$B$128,C153,SONDERZAHLUNGEN!$C$9:$C$128,A153,SONDERZAHLUNGEN!$H$9:$H$128,"OK",SONDERZAHLUNGEN!$F$9:$F$128,"Ja")))</x:f>
      </x:c>
      <x:c r="H153" s="88" t="str">
        <x:f>IF(C153="","",MIN(MAX(0,D153+E153-F153-G153),MAX(0,IF(MONATSBUDGET!$C$14="",0,MONATSBUDGET!$C$14)-SUM(F140:F159)-SUM(H140:H152))))</x:f>
      </x:c>
      <x:c r="I153" s="88" t="str">
        <x:f>IF(C153="","",MAX(0,ROUND(D153+E153-F153-G153-H153,2)))</x:f>
      </x:c>
      <x:c r="J153" s="88" t="str">
        <x:f>IF(C153="","",F153+G153+H153)</x:f>
      </x:c>
      <x:c r="K153" s="88" t="str">
        <x:f>IF(C153="","",MAX(0,SUMIFS(SONDERZAHLUNGEN!$E$9:$E$128,SONDERZAHLUNGEN!$B$9:$B$128,C153,SONDERZAHLUNGEN!$C$9:$C$128,A153,SONDERZAHLUNGEN!$H$9:$H$128,"OK",SONDERZAHLUNGEN!$F$9:$F$128,"Ja")-G153))</x:f>
      </x:c>
    </x:row>
    <x:row r="154" ht="19" customHeight="1">
      <x:c r="A154" s="90" t="n">
        <x:f>MONATSBUDGET!$A$14</x:f>
        <x:v>46419</x:v>
      </x:c>
      <x:c r="B154" t="n">
        <x:f>15</x:f>
        <x:v>15</x:v>
      </x:c>
      <x:c r="C154" t="str">
        <x:f>IF($N$23="","",$N$23)</x:f>
      </x:c>
      <x:c r="D154" s="88" t="str">
        <x:f>IF(C154="","",I134)</x:f>
      </x:c>
      <x:c r="E154" s="88" t="str">
        <x:f>IF(C154="","",ROUND(D154*$P$23/12,2))</x:f>
      </x:c>
      <x:c r="F154" s="88" t="str">
        <x:f>IF(C154="","",MIN(D154+E154,$Q$23))</x:f>
      </x:c>
      <x:c r="G154" s="88" t="str">
        <x:f>IF(C154="","",MIN(MAX(0,D154+E154-F154),SUMIFS(SONDERZAHLUNGEN!$E$9:$E$128,SONDERZAHLUNGEN!$B$9:$B$128,C154,SONDERZAHLUNGEN!$C$9:$C$128,A154,SONDERZAHLUNGEN!$H$9:$H$128,"OK",SONDERZAHLUNGEN!$F$9:$F$128,"Ja")))</x:f>
      </x:c>
      <x:c r="H154" s="88" t="str">
        <x:f>IF(C154="","",MIN(MAX(0,D154+E154-F154-G154),MAX(0,IF(MONATSBUDGET!$C$14="",0,MONATSBUDGET!$C$14)-SUM(F140:F159)-SUM(H140:H153))))</x:f>
      </x:c>
      <x:c r="I154" s="88" t="str">
        <x:f>IF(C154="","",MAX(0,ROUND(D154+E154-F154-G154-H154,2)))</x:f>
      </x:c>
      <x:c r="J154" s="88" t="str">
        <x:f>IF(C154="","",F154+G154+H154)</x:f>
      </x:c>
      <x:c r="K154" s="88" t="str">
        <x:f>IF(C154="","",MAX(0,SUMIFS(SONDERZAHLUNGEN!$E$9:$E$128,SONDERZAHLUNGEN!$B$9:$B$128,C154,SONDERZAHLUNGEN!$C$9:$C$128,A154,SONDERZAHLUNGEN!$H$9:$H$128,"OK",SONDERZAHLUNGEN!$F$9:$F$128,"Ja")-G154))</x:f>
      </x:c>
    </x:row>
    <x:row r="155" ht="19" customHeight="1">
      <x:c r="A155" s="90" t="n">
        <x:f>MONATSBUDGET!$A$14</x:f>
        <x:v>46419</x:v>
      </x:c>
      <x:c r="B155" t="n">
        <x:f>16</x:f>
        <x:v>16</x:v>
      </x:c>
      <x:c r="C155" t="str">
        <x:f>IF($N$24="","",$N$24)</x:f>
      </x:c>
      <x:c r="D155" s="88" t="str">
        <x:f>IF(C155="","",I135)</x:f>
      </x:c>
      <x:c r="E155" s="88" t="str">
        <x:f>IF(C155="","",ROUND(D155*$P$24/12,2))</x:f>
      </x:c>
      <x:c r="F155" s="88" t="str">
        <x:f>IF(C155="","",MIN(D155+E155,$Q$24))</x:f>
      </x:c>
      <x:c r="G155" s="88" t="str">
        <x:f>IF(C155="","",MIN(MAX(0,D155+E155-F155),SUMIFS(SONDERZAHLUNGEN!$E$9:$E$128,SONDERZAHLUNGEN!$B$9:$B$128,C155,SONDERZAHLUNGEN!$C$9:$C$128,A155,SONDERZAHLUNGEN!$H$9:$H$128,"OK",SONDERZAHLUNGEN!$F$9:$F$128,"Ja")))</x:f>
      </x:c>
      <x:c r="H155" s="88" t="str">
        <x:f>IF(C155="","",MIN(MAX(0,D155+E155-F155-G155),MAX(0,IF(MONATSBUDGET!$C$14="",0,MONATSBUDGET!$C$14)-SUM(F140:F159)-SUM(H140:H154))))</x:f>
      </x:c>
      <x:c r="I155" s="88" t="str">
        <x:f>IF(C155="","",MAX(0,ROUND(D155+E155-F155-G155-H155,2)))</x:f>
      </x:c>
      <x:c r="J155" s="88" t="str">
        <x:f>IF(C155="","",F155+G155+H155)</x:f>
      </x:c>
      <x:c r="K155" s="88" t="str">
        <x:f>IF(C155="","",MAX(0,SUMIFS(SONDERZAHLUNGEN!$E$9:$E$128,SONDERZAHLUNGEN!$B$9:$B$128,C155,SONDERZAHLUNGEN!$C$9:$C$128,A155,SONDERZAHLUNGEN!$H$9:$H$128,"OK",SONDERZAHLUNGEN!$F$9:$F$128,"Ja")-G155))</x:f>
      </x:c>
    </x:row>
    <x:row r="156" ht="19" customHeight="1">
      <x:c r="A156" s="90" t="n">
        <x:f>MONATSBUDGET!$A$14</x:f>
        <x:v>46419</x:v>
      </x:c>
      <x:c r="B156" t="n">
        <x:f>17</x:f>
        <x:v>17</x:v>
      </x:c>
      <x:c r="C156" t="str">
        <x:f>IF($N$25="","",$N$25)</x:f>
      </x:c>
      <x:c r="D156" s="88" t="str">
        <x:f>IF(C156="","",I136)</x:f>
      </x:c>
      <x:c r="E156" s="88" t="str">
        <x:f>IF(C156="","",ROUND(D156*$P$25/12,2))</x:f>
      </x:c>
      <x:c r="F156" s="88" t="str">
        <x:f>IF(C156="","",MIN(D156+E156,$Q$25))</x:f>
      </x:c>
      <x:c r="G156" s="88" t="str">
        <x:f>IF(C156="","",MIN(MAX(0,D156+E156-F156),SUMIFS(SONDERZAHLUNGEN!$E$9:$E$128,SONDERZAHLUNGEN!$B$9:$B$128,C156,SONDERZAHLUNGEN!$C$9:$C$128,A156,SONDERZAHLUNGEN!$H$9:$H$128,"OK",SONDERZAHLUNGEN!$F$9:$F$128,"Ja")))</x:f>
      </x:c>
      <x:c r="H156" s="88" t="str">
        <x:f>IF(C156="","",MIN(MAX(0,D156+E156-F156-G156),MAX(0,IF(MONATSBUDGET!$C$14="",0,MONATSBUDGET!$C$14)-SUM(F140:F159)-SUM(H140:H155))))</x:f>
      </x:c>
      <x:c r="I156" s="88" t="str">
        <x:f>IF(C156="","",MAX(0,ROUND(D156+E156-F156-G156-H156,2)))</x:f>
      </x:c>
      <x:c r="J156" s="88" t="str">
        <x:f>IF(C156="","",F156+G156+H156)</x:f>
      </x:c>
      <x:c r="K156" s="88" t="str">
        <x:f>IF(C156="","",MAX(0,SUMIFS(SONDERZAHLUNGEN!$E$9:$E$128,SONDERZAHLUNGEN!$B$9:$B$128,C156,SONDERZAHLUNGEN!$C$9:$C$128,A156,SONDERZAHLUNGEN!$H$9:$H$128,"OK",SONDERZAHLUNGEN!$F$9:$F$128,"Ja")-G156))</x:f>
      </x:c>
    </x:row>
    <x:row r="157" ht="19" customHeight="1">
      <x:c r="A157" s="90" t="n">
        <x:f>MONATSBUDGET!$A$14</x:f>
        <x:v>46419</x:v>
      </x:c>
      <x:c r="B157" t="n">
        <x:f>18</x:f>
        <x:v>18</x:v>
      </x:c>
      <x:c r="C157" t="str">
        <x:f>IF($N$26="","",$N$26)</x:f>
      </x:c>
      <x:c r="D157" s="88" t="str">
        <x:f>IF(C157="","",I137)</x:f>
      </x:c>
      <x:c r="E157" s="88" t="str">
        <x:f>IF(C157="","",ROUND(D157*$P$26/12,2))</x:f>
      </x:c>
      <x:c r="F157" s="88" t="str">
        <x:f>IF(C157="","",MIN(D157+E157,$Q$26))</x:f>
      </x:c>
      <x:c r="G157" s="88" t="str">
        <x:f>IF(C157="","",MIN(MAX(0,D157+E157-F157),SUMIFS(SONDERZAHLUNGEN!$E$9:$E$128,SONDERZAHLUNGEN!$B$9:$B$128,C157,SONDERZAHLUNGEN!$C$9:$C$128,A157,SONDERZAHLUNGEN!$H$9:$H$128,"OK",SONDERZAHLUNGEN!$F$9:$F$128,"Ja")))</x:f>
      </x:c>
      <x:c r="H157" s="88" t="str">
        <x:f>IF(C157="","",MIN(MAX(0,D157+E157-F157-G157),MAX(0,IF(MONATSBUDGET!$C$14="",0,MONATSBUDGET!$C$14)-SUM(F140:F159)-SUM(H140:H156))))</x:f>
      </x:c>
      <x:c r="I157" s="88" t="str">
        <x:f>IF(C157="","",MAX(0,ROUND(D157+E157-F157-G157-H157,2)))</x:f>
      </x:c>
      <x:c r="J157" s="88" t="str">
        <x:f>IF(C157="","",F157+G157+H157)</x:f>
      </x:c>
      <x:c r="K157" s="88" t="str">
        <x:f>IF(C157="","",MAX(0,SUMIFS(SONDERZAHLUNGEN!$E$9:$E$128,SONDERZAHLUNGEN!$B$9:$B$128,C157,SONDERZAHLUNGEN!$C$9:$C$128,A157,SONDERZAHLUNGEN!$H$9:$H$128,"OK",SONDERZAHLUNGEN!$F$9:$F$128,"Ja")-G157))</x:f>
      </x:c>
    </x:row>
    <x:row r="158" ht="19" customHeight="1">
      <x:c r="A158" s="90" t="n">
        <x:f>MONATSBUDGET!$A$14</x:f>
        <x:v>46419</x:v>
      </x:c>
      <x:c r="B158" t="n">
        <x:f>19</x:f>
        <x:v>19</x:v>
      </x:c>
      <x:c r="C158" t="str">
        <x:f>IF($N$27="","",$N$27)</x:f>
      </x:c>
      <x:c r="D158" s="88" t="str">
        <x:f>IF(C158="","",I138)</x:f>
      </x:c>
      <x:c r="E158" s="88" t="str">
        <x:f>IF(C158="","",ROUND(D158*$P$27/12,2))</x:f>
      </x:c>
      <x:c r="F158" s="88" t="str">
        <x:f>IF(C158="","",MIN(D158+E158,$Q$27))</x:f>
      </x:c>
      <x:c r="G158" s="88" t="str">
        <x:f>IF(C158="","",MIN(MAX(0,D158+E158-F158),SUMIFS(SONDERZAHLUNGEN!$E$9:$E$128,SONDERZAHLUNGEN!$B$9:$B$128,C158,SONDERZAHLUNGEN!$C$9:$C$128,A158,SONDERZAHLUNGEN!$H$9:$H$128,"OK",SONDERZAHLUNGEN!$F$9:$F$128,"Ja")))</x:f>
      </x:c>
      <x:c r="H158" s="88" t="str">
        <x:f>IF(C158="","",MIN(MAX(0,D158+E158-F158-G158),MAX(0,IF(MONATSBUDGET!$C$14="",0,MONATSBUDGET!$C$14)-SUM(F140:F159)-SUM(H140:H157))))</x:f>
      </x:c>
      <x:c r="I158" s="88" t="str">
        <x:f>IF(C158="","",MAX(0,ROUND(D158+E158-F158-G158-H158,2)))</x:f>
      </x:c>
      <x:c r="J158" s="88" t="str">
        <x:f>IF(C158="","",F158+G158+H158)</x:f>
      </x:c>
      <x:c r="K158" s="88" t="str">
        <x:f>IF(C158="","",MAX(0,SUMIFS(SONDERZAHLUNGEN!$E$9:$E$128,SONDERZAHLUNGEN!$B$9:$B$128,C158,SONDERZAHLUNGEN!$C$9:$C$128,A158,SONDERZAHLUNGEN!$H$9:$H$128,"OK",SONDERZAHLUNGEN!$F$9:$F$128,"Ja")-G158))</x:f>
      </x:c>
    </x:row>
    <x:row r="159" ht="19" customHeight="1">
      <x:c r="A159" s="90" t="n">
        <x:f>MONATSBUDGET!$A$14</x:f>
        <x:v>46419</x:v>
      </x:c>
      <x:c r="B159" t="n">
        <x:f>20</x:f>
        <x:v>20</x:v>
      </x:c>
      <x:c r="C159" t="str">
        <x:f>IF($N$28="","",$N$28)</x:f>
      </x:c>
      <x:c r="D159" s="88" t="str">
        <x:f>IF(C159="","",I139)</x:f>
      </x:c>
      <x:c r="E159" s="88" t="str">
        <x:f>IF(C159="","",ROUND(D159*$P$28/12,2))</x:f>
      </x:c>
      <x:c r="F159" s="88" t="str">
        <x:f>IF(C159="","",MIN(D159+E159,$Q$28))</x:f>
      </x:c>
      <x:c r="G159" s="88" t="str">
        <x:f>IF(C159="","",MIN(MAX(0,D159+E159-F159),SUMIFS(SONDERZAHLUNGEN!$E$9:$E$128,SONDERZAHLUNGEN!$B$9:$B$128,C159,SONDERZAHLUNGEN!$C$9:$C$128,A159,SONDERZAHLUNGEN!$H$9:$H$128,"OK",SONDERZAHLUNGEN!$F$9:$F$128,"Ja")))</x:f>
      </x:c>
      <x:c r="H159" s="88" t="str">
        <x:f>IF(C159="","",MIN(MAX(0,D159+E159-F159-G159),MAX(0,IF(MONATSBUDGET!$C$14="",0,MONATSBUDGET!$C$14)-SUM(F140:F159)-SUM(H140:H158))))</x:f>
      </x:c>
      <x:c r="I159" s="88" t="str">
        <x:f>IF(C159="","",MAX(0,ROUND(D159+E159-F159-G159-H159,2)))</x:f>
      </x:c>
      <x:c r="J159" s="88" t="str">
        <x:f>IF(C159="","",F159+G159+H159)</x:f>
      </x:c>
      <x:c r="K159" s="88" t="str">
        <x:f>IF(C159="","",MAX(0,SUMIFS(SONDERZAHLUNGEN!$E$9:$E$128,SONDERZAHLUNGEN!$B$9:$B$128,C159,SONDERZAHLUNGEN!$C$9:$C$128,A159,SONDERZAHLUNGEN!$H$9:$H$128,"OK",SONDERZAHLUNGEN!$F$9:$F$128,"Ja")-G159))</x:f>
      </x:c>
    </x:row>
    <x:row r="160" ht="19" customHeight="1">
      <x:c r="A160" s="90" t="n">
        <x:f>MONATSBUDGET!$A$15</x:f>
        <x:v>46447</x:v>
      </x:c>
      <x:c r="B160" t="n">
        <x:f>1</x:f>
        <x:v>1</x:v>
      </x:c>
      <x:c r="C160" t="str">
        <x:f>IF($N$9="","",$N$9)</x:f>
      </x:c>
      <x:c r="D160" s="88" t="str">
        <x:f>IF(C160="","",I140)</x:f>
      </x:c>
      <x:c r="E160" s="88" t="str">
        <x:f>IF(C160="","",ROUND(D160*$P$9/12,2))</x:f>
      </x:c>
      <x:c r="F160" s="88" t="str">
        <x:f>IF(C160="","",MIN(D160+E160,$Q$9))</x:f>
      </x:c>
      <x:c r="G160" s="88" t="str">
        <x:f>IF(C160="","",MIN(MAX(0,D160+E160-F160),SUMIFS(SONDERZAHLUNGEN!$E$9:$E$128,SONDERZAHLUNGEN!$B$9:$B$128,C160,SONDERZAHLUNGEN!$C$9:$C$128,A160,SONDERZAHLUNGEN!$H$9:$H$128,"OK",SONDERZAHLUNGEN!$F$9:$F$128,"Ja")))</x:f>
      </x:c>
      <x:c r="H160" s="88" t="str">
        <x:f>IF(C160="","",MIN(MAX(0,D160+E160-F160-G160),MAX(0,IF(MONATSBUDGET!$C$15="",0,MONATSBUDGET!$C$15)-SUM(F160:F179)-0)))</x:f>
      </x:c>
      <x:c r="I160" s="88" t="str">
        <x:f>IF(C160="","",MAX(0,ROUND(D160+E160-F160-G160-H160,2)))</x:f>
      </x:c>
      <x:c r="J160" s="88" t="str">
        <x:f>IF(C160="","",F160+G160+H160)</x:f>
      </x:c>
      <x:c r="K160" s="88" t="str">
        <x:f>IF(C160="","",MAX(0,SUMIFS(SONDERZAHLUNGEN!$E$9:$E$128,SONDERZAHLUNGEN!$B$9:$B$128,C160,SONDERZAHLUNGEN!$C$9:$C$128,A160,SONDERZAHLUNGEN!$H$9:$H$128,"OK",SONDERZAHLUNGEN!$F$9:$F$128,"Ja")-G160))</x:f>
      </x:c>
    </x:row>
    <x:row r="161" ht="19" customHeight="1">
      <x:c r="A161" s="90" t="n">
        <x:f>MONATSBUDGET!$A$15</x:f>
        <x:v>46447</x:v>
      </x:c>
      <x:c r="B161" t="n">
        <x:f>2</x:f>
        <x:v>2</x:v>
      </x:c>
      <x:c r="C161" t="str">
        <x:f>IF($N$10="","",$N$10)</x:f>
      </x:c>
      <x:c r="D161" s="88" t="str">
        <x:f>IF(C161="","",I141)</x:f>
      </x:c>
      <x:c r="E161" s="88" t="str">
        <x:f>IF(C161="","",ROUND(D161*$P$10/12,2))</x:f>
      </x:c>
      <x:c r="F161" s="88" t="str">
        <x:f>IF(C161="","",MIN(D161+E161,$Q$10))</x:f>
      </x:c>
      <x:c r="G161" s="88" t="str">
        <x:f>IF(C161="","",MIN(MAX(0,D161+E161-F161),SUMIFS(SONDERZAHLUNGEN!$E$9:$E$128,SONDERZAHLUNGEN!$B$9:$B$128,C161,SONDERZAHLUNGEN!$C$9:$C$128,A161,SONDERZAHLUNGEN!$H$9:$H$128,"OK",SONDERZAHLUNGEN!$F$9:$F$128,"Ja")))</x:f>
      </x:c>
      <x:c r="H161" s="88" t="str">
        <x:f>IF(C161="","",MIN(MAX(0,D161+E161-F161-G161),MAX(0,IF(MONATSBUDGET!$C$15="",0,MONATSBUDGET!$C$15)-SUM(F160:F179)-SUM(H160:H160))))</x:f>
      </x:c>
      <x:c r="I161" s="88" t="str">
        <x:f>IF(C161="","",MAX(0,ROUND(D161+E161-F161-G161-H161,2)))</x:f>
      </x:c>
      <x:c r="J161" s="88" t="str">
        <x:f>IF(C161="","",F161+G161+H161)</x:f>
      </x:c>
      <x:c r="K161" s="88" t="str">
        <x:f>IF(C161="","",MAX(0,SUMIFS(SONDERZAHLUNGEN!$E$9:$E$128,SONDERZAHLUNGEN!$B$9:$B$128,C161,SONDERZAHLUNGEN!$C$9:$C$128,A161,SONDERZAHLUNGEN!$H$9:$H$128,"OK",SONDERZAHLUNGEN!$F$9:$F$128,"Ja")-G161))</x:f>
      </x:c>
    </x:row>
    <x:row r="162" ht="19" customHeight="1">
      <x:c r="A162" s="90" t="n">
        <x:f>MONATSBUDGET!$A$15</x:f>
        <x:v>46447</x:v>
      </x:c>
      <x:c r="B162" t="n">
        <x:f>3</x:f>
        <x:v>3</x:v>
      </x:c>
      <x:c r="C162" t="str">
        <x:f>IF($N$11="","",$N$11)</x:f>
      </x:c>
      <x:c r="D162" s="88" t="str">
        <x:f>IF(C162="","",I142)</x:f>
      </x:c>
      <x:c r="E162" s="88" t="str">
        <x:f>IF(C162="","",ROUND(D162*$P$11/12,2))</x:f>
      </x:c>
      <x:c r="F162" s="88" t="str">
        <x:f>IF(C162="","",MIN(D162+E162,$Q$11))</x:f>
      </x:c>
      <x:c r="G162" s="88" t="str">
        <x:f>IF(C162="","",MIN(MAX(0,D162+E162-F162),SUMIFS(SONDERZAHLUNGEN!$E$9:$E$128,SONDERZAHLUNGEN!$B$9:$B$128,C162,SONDERZAHLUNGEN!$C$9:$C$128,A162,SONDERZAHLUNGEN!$H$9:$H$128,"OK",SONDERZAHLUNGEN!$F$9:$F$128,"Ja")))</x:f>
      </x:c>
      <x:c r="H162" s="88" t="str">
        <x:f>IF(C162="","",MIN(MAX(0,D162+E162-F162-G162),MAX(0,IF(MONATSBUDGET!$C$15="",0,MONATSBUDGET!$C$15)-SUM(F160:F179)-SUM(H160:H161))))</x:f>
      </x:c>
      <x:c r="I162" s="88" t="str">
        <x:f>IF(C162="","",MAX(0,ROUND(D162+E162-F162-G162-H162,2)))</x:f>
      </x:c>
      <x:c r="J162" s="88" t="str">
        <x:f>IF(C162="","",F162+G162+H162)</x:f>
      </x:c>
      <x:c r="K162" s="88" t="str">
        <x:f>IF(C162="","",MAX(0,SUMIFS(SONDERZAHLUNGEN!$E$9:$E$128,SONDERZAHLUNGEN!$B$9:$B$128,C162,SONDERZAHLUNGEN!$C$9:$C$128,A162,SONDERZAHLUNGEN!$H$9:$H$128,"OK",SONDERZAHLUNGEN!$F$9:$F$128,"Ja")-G162))</x:f>
      </x:c>
    </x:row>
    <x:row r="163" ht="19" customHeight="1">
      <x:c r="A163" s="90" t="n">
        <x:f>MONATSBUDGET!$A$15</x:f>
        <x:v>46447</x:v>
      </x:c>
      <x:c r="B163" t="n">
        <x:f>4</x:f>
        <x:v>4</x:v>
      </x:c>
      <x:c r="C163" t="str">
        <x:f>IF($N$12="","",$N$12)</x:f>
      </x:c>
      <x:c r="D163" s="88" t="str">
        <x:f>IF(C163="","",I143)</x:f>
      </x:c>
      <x:c r="E163" s="88" t="str">
        <x:f>IF(C163="","",ROUND(D163*$P$12/12,2))</x:f>
      </x:c>
      <x:c r="F163" s="88" t="str">
        <x:f>IF(C163="","",MIN(D163+E163,$Q$12))</x:f>
      </x:c>
      <x:c r="G163" s="88" t="str">
        <x:f>IF(C163="","",MIN(MAX(0,D163+E163-F163),SUMIFS(SONDERZAHLUNGEN!$E$9:$E$128,SONDERZAHLUNGEN!$B$9:$B$128,C163,SONDERZAHLUNGEN!$C$9:$C$128,A163,SONDERZAHLUNGEN!$H$9:$H$128,"OK",SONDERZAHLUNGEN!$F$9:$F$128,"Ja")))</x:f>
      </x:c>
      <x:c r="H163" s="88" t="str">
        <x:f>IF(C163="","",MIN(MAX(0,D163+E163-F163-G163),MAX(0,IF(MONATSBUDGET!$C$15="",0,MONATSBUDGET!$C$15)-SUM(F160:F179)-SUM(H160:H162))))</x:f>
      </x:c>
      <x:c r="I163" s="88" t="str">
        <x:f>IF(C163="","",MAX(0,ROUND(D163+E163-F163-G163-H163,2)))</x:f>
      </x:c>
      <x:c r="J163" s="88" t="str">
        <x:f>IF(C163="","",F163+G163+H163)</x:f>
      </x:c>
      <x:c r="K163" s="88" t="str">
        <x:f>IF(C163="","",MAX(0,SUMIFS(SONDERZAHLUNGEN!$E$9:$E$128,SONDERZAHLUNGEN!$B$9:$B$128,C163,SONDERZAHLUNGEN!$C$9:$C$128,A163,SONDERZAHLUNGEN!$H$9:$H$128,"OK",SONDERZAHLUNGEN!$F$9:$F$128,"Ja")-G163))</x:f>
      </x:c>
    </x:row>
    <x:row r="164" ht="19" customHeight="1">
      <x:c r="A164" s="90" t="n">
        <x:f>MONATSBUDGET!$A$15</x:f>
        <x:v>46447</x:v>
      </x:c>
      <x:c r="B164" t="n">
        <x:f>5</x:f>
        <x:v>5</x:v>
      </x:c>
      <x:c r="C164" t="str">
        <x:f>IF($N$13="","",$N$13)</x:f>
      </x:c>
      <x:c r="D164" s="88" t="str">
        <x:f>IF(C164="","",I144)</x:f>
      </x:c>
      <x:c r="E164" s="88" t="str">
        <x:f>IF(C164="","",ROUND(D164*$P$13/12,2))</x:f>
      </x:c>
      <x:c r="F164" s="88" t="str">
        <x:f>IF(C164="","",MIN(D164+E164,$Q$13))</x:f>
      </x:c>
      <x:c r="G164" s="88" t="str">
        <x:f>IF(C164="","",MIN(MAX(0,D164+E164-F164),SUMIFS(SONDERZAHLUNGEN!$E$9:$E$128,SONDERZAHLUNGEN!$B$9:$B$128,C164,SONDERZAHLUNGEN!$C$9:$C$128,A164,SONDERZAHLUNGEN!$H$9:$H$128,"OK",SONDERZAHLUNGEN!$F$9:$F$128,"Ja")))</x:f>
      </x:c>
      <x:c r="H164" s="88" t="str">
        <x:f>IF(C164="","",MIN(MAX(0,D164+E164-F164-G164),MAX(0,IF(MONATSBUDGET!$C$15="",0,MONATSBUDGET!$C$15)-SUM(F160:F179)-SUM(H160:H163))))</x:f>
      </x:c>
      <x:c r="I164" s="88" t="str">
        <x:f>IF(C164="","",MAX(0,ROUND(D164+E164-F164-G164-H164,2)))</x:f>
      </x:c>
      <x:c r="J164" s="88" t="str">
        <x:f>IF(C164="","",F164+G164+H164)</x:f>
      </x:c>
      <x:c r="K164" s="88" t="str">
        <x:f>IF(C164="","",MAX(0,SUMIFS(SONDERZAHLUNGEN!$E$9:$E$128,SONDERZAHLUNGEN!$B$9:$B$128,C164,SONDERZAHLUNGEN!$C$9:$C$128,A164,SONDERZAHLUNGEN!$H$9:$H$128,"OK",SONDERZAHLUNGEN!$F$9:$F$128,"Ja")-G164))</x:f>
      </x:c>
    </x:row>
    <x:row r="165" ht="19" customHeight="1">
      <x:c r="A165" s="90" t="n">
        <x:f>MONATSBUDGET!$A$15</x:f>
        <x:v>46447</x:v>
      </x:c>
      <x:c r="B165" t="n">
        <x:f>6</x:f>
        <x:v>6</x:v>
      </x:c>
      <x:c r="C165" t="str">
        <x:f>IF($N$14="","",$N$14)</x:f>
      </x:c>
      <x:c r="D165" s="88" t="str">
        <x:f>IF(C165="","",I145)</x:f>
      </x:c>
      <x:c r="E165" s="88" t="str">
        <x:f>IF(C165="","",ROUND(D165*$P$14/12,2))</x:f>
      </x:c>
      <x:c r="F165" s="88" t="str">
        <x:f>IF(C165="","",MIN(D165+E165,$Q$14))</x:f>
      </x:c>
      <x:c r="G165" s="88" t="str">
        <x:f>IF(C165="","",MIN(MAX(0,D165+E165-F165),SUMIFS(SONDERZAHLUNGEN!$E$9:$E$128,SONDERZAHLUNGEN!$B$9:$B$128,C165,SONDERZAHLUNGEN!$C$9:$C$128,A165,SONDERZAHLUNGEN!$H$9:$H$128,"OK",SONDERZAHLUNGEN!$F$9:$F$128,"Ja")))</x:f>
      </x:c>
      <x:c r="H165" s="88" t="str">
        <x:f>IF(C165="","",MIN(MAX(0,D165+E165-F165-G165),MAX(0,IF(MONATSBUDGET!$C$15="",0,MONATSBUDGET!$C$15)-SUM(F160:F179)-SUM(H160:H164))))</x:f>
      </x:c>
      <x:c r="I165" s="88" t="str">
        <x:f>IF(C165="","",MAX(0,ROUND(D165+E165-F165-G165-H165,2)))</x:f>
      </x:c>
      <x:c r="J165" s="88" t="str">
        <x:f>IF(C165="","",F165+G165+H165)</x:f>
      </x:c>
      <x:c r="K165" s="88" t="str">
        <x:f>IF(C165="","",MAX(0,SUMIFS(SONDERZAHLUNGEN!$E$9:$E$128,SONDERZAHLUNGEN!$B$9:$B$128,C165,SONDERZAHLUNGEN!$C$9:$C$128,A165,SONDERZAHLUNGEN!$H$9:$H$128,"OK",SONDERZAHLUNGEN!$F$9:$F$128,"Ja")-G165))</x:f>
      </x:c>
    </x:row>
    <x:row r="166" ht="19" customHeight="1">
      <x:c r="A166" s="90" t="n">
        <x:f>MONATSBUDGET!$A$15</x:f>
        <x:v>46447</x:v>
      </x:c>
      <x:c r="B166" t="n">
        <x:f>7</x:f>
        <x:v>7</x:v>
      </x:c>
      <x:c r="C166" t="str">
        <x:f>IF($N$15="","",$N$15)</x:f>
      </x:c>
      <x:c r="D166" s="88" t="str">
        <x:f>IF(C166="","",I146)</x:f>
      </x:c>
      <x:c r="E166" s="88" t="str">
        <x:f>IF(C166="","",ROUND(D166*$P$15/12,2))</x:f>
      </x:c>
      <x:c r="F166" s="88" t="str">
        <x:f>IF(C166="","",MIN(D166+E166,$Q$15))</x:f>
      </x:c>
      <x:c r="G166" s="88" t="str">
        <x:f>IF(C166="","",MIN(MAX(0,D166+E166-F166),SUMIFS(SONDERZAHLUNGEN!$E$9:$E$128,SONDERZAHLUNGEN!$B$9:$B$128,C166,SONDERZAHLUNGEN!$C$9:$C$128,A166,SONDERZAHLUNGEN!$H$9:$H$128,"OK",SONDERZAHLUNGEN!$F$9:$F$128,"Ja")))</x:f>
      </x:c>
      <x:c r="H166" s="88" t="str">
        <x:f>IF(C166="","",MIN(MAX(0,D166+E166-F166-G166),MAX(0,IF(MONATSBUDGET!$C$15="",0,MONATSBUDGET!$C$15)-SUM(F160:F179)-SUM(H160:H165))))</x:f>
      </x:c>
      <x:c r="I166" s="88" t="str">
        <x:f>IF(C166="","",MAX(0,ROUND(D166+E166-F166-G166-H166,2)))</x:f>
      </x:c>
      <x:c r="J166" s="88" t="str">
        <x:f>IF(C166="","",F166+G166+H166)</x:f>
      </x:c>
      <x:c r="K166" s="88" t="str">
        <x:f>IF(C166="","",MAX(0,SUMIFS(SONDERZAHLUNGEN!$E$9:$E$128,SONDERZAHLUNGEN!$B$9:$B$128,C166,SONDERZAHLUNGEN!$C$9:$C$128,A166,SONDERZAHLUNGEN!$H$9:$H$128,"OK",SONDERZAHLUNGEN!$F$9:$F$128,"Ja")-G166))</x:f>
      </x:c>
    </x:row>
    <x:row r="167" ht="19" customHeight="1">
      <x:c r="A167" s="90" t="n">
        <x:f>MONATSBUDGET!$A$15</x:f>
        <x:v>46447</x:v>
      </x:c>
      <x:c r="B167" t="n">
        <x:f>8</x:f>
        <x:v>8</x:v>
      </x:c>
      <x:c r="C167" t="str">
        <x:f>IF($N$16="","",$N$16)</x:f>
      </x:c>
      <x:c r="D167" s="88" t="str">
        <x:f>IF(C167="","",I147)</x:f>
      </x:c>
      <x:c r="E167" s="88" t="str">
        <x:f>IF(C167="","",ROUND(D167*$P$16/12,2))</x:f>
      </x:c>
      <x:c r="F167" s="88" t="str">
        <x:f>IF(C167="","",MIN(D167+E167,$Q$16))</x:f>
      </x:c>
      <x:c r="G167" s="88" t="str">
        <x:f>IF(C167="","",MIN(MAX(0,D167+E167-F167),SUMIFS(SONDERZAHLUNGEN!$E$9:$E$128,SONDERZAHLUNGEN!$B$9:$B$128,C167,SONDERZAHLUNGEN!$C$9:$C$128,A167,SONDERZAHLUNGEN!$H$9:$H$128,"OK",SONDERZAHLUNGEN!$F$9:$F$128,"Ja")))</x:f>
      </x:c>
      <x:c r="H167" s="88" t="str">
        <x:f>IF(C167="","",MIN(MAX(0,D167+E167-F167-G167),MAX(0,IF(MONATSBUDGET!$C$15="",0,MONATSBUDGET!$C$15)-SUM(F160:F179)-SUM(H160:H166))))</x:f>
      </x:c>
      <x:c r="I167" s="88" t="str">
        <x:f>IF(C167="","",MAX(0,ROUND(D167+E167-F167-G167-H167,2)))</x:f>
      </x:c>
      <x:c r="J167" s="88" t="str">
        <x:f>IF(C167="","",F167+G167+H167)</x:f>
      </x:c>
      <x:c r="K167" s="88" t="str">
        <x:f>IF(C167="","",MAX(0,SUMIFS(SONDERZAHLUNGEN!$E$9:$E$128,SONDERZAHLUNGEN!$B$9:$B$128,C167,SONDERZAHLUNGEN!$C$9:$C$128,A167,SONDERZAHLUNGEN!$H$9:$H$128,"OK",SONDERZAHLUNGEN!$F$9:$F$128,"Ja")-G167))</x:f>
      </x:c>
    </x:row>
    <x:row r="168" ht="19" customHeight="1">
      <x:c r="A168" s="90" t="n">
        <x:f>MONATSBUDGET!$A$15</x:f>
        <x:v>46447</x:v>
      </x:c>
      <x:c r="B168" t="n">
        <x:f>9</x:f>
        <x:v>9</x:v>
      </x:c>
      <x:c r="C168" t="str">
        <x:f>IF($N$17="","",$N$17)</x:f>
      </x:c>
      <x:c r="D168" s="88" t="str">
        <x:f>IF(C168="","",I148)</x:f>
      </x:c>
      <x:c r="E168" s="88" t="str">
        <x:f>IF(C168="","",ROUND(D168*$P$17/12,2))</x:f>
      </x:c>
      <x:c r="F168" s="88" t="str">
        <x:f>IF(C168="","",MIN(D168+E168,$Q$17))</x:f>
      </x:c>
      <x:c r="G168" s="88" t="str">
        <x:f>IF(C168="","",MIN(MAX(0,D168+E168-F168),SUMIFS(SONDERZAHLUNGEN!$E$9:$E$128,SONDERZAHLUNGEN!$B$9:$B$128,C168,SONDERZAHLUNGEN!$C$9:$C$128,A168,SONDERZAHLUNGEN!$H$9:$H$128,"OK",SONDERZAHLUNGEN!$F$9:$F$128,"Ja")))</x:f>
      </x:c>
      <x:c r="H168" s="88" t="str">
        <x:f>IF(C168="","",MIN(MAX(0,D168+E168-F168-G168),MAX(0,IF(MONATSBUDGET!$C$15="",0,MONATSBUDGET!$C$15)-SUM(F160:F179)-SUM(H160:H167))))</x:f>
      </x:c>
      <x:c r="I168" s="88" t="str">
        <x:f>IF(C168="","",MAX(0,ROUND(D168+E168-F168-G168-H168,2)))</x:f>
      </x:c>
      <x:c r="J168" s="88" t="str">
        <x:f>IF(C168="","",F168+G168+H168)</x:f>
      </x:c>
      <x:c r="K168" s="88" t="str">
        <x:f>IF(C168="","",MAX(0,SUMIFS(SONDERZAHLUNGEN!$E$9:$E$128,SONDERZAHLUNGEN!$B$9:$B$128,C168,SONDERZAHLUNGEN!$C$9:$C$128,A168,SONDERZAHLUNGEN!$H$9:$H$128,"OK",SONDERZAHLUNGEN!$F$9:$F$128,"Ja")-G168))</x:f>
      </x:c>
    </x:row>
    <x:row r="169" ht="19" customHeight="1">
      <x:c r="A169" s="90" t="n">
        <x:f>MONATSBUDGET!$A$15</x:f>
        <x:v>46447</x:v>
      </x:c>
      <x:c r="B169" t="n">
        <x:f>10</x:f>
        <x:v>10</x:v>
      </x:c>
      <x:c r="C169" t="str">
        <x:f>IF($N$18="","",$N$18)</x:f>
      </x:c>
      <x:c r="D169" s="88" t="str">
        <x:f>IF(C169="","",I149)</x:f>
      </x:c>
      <x:c r="E169" s="88" t="str">
        <x:f>IF(C169="","",ROUND(D169*$P$18/12,2))</x:f>
      </x:c>
      <x:c r="F169" s="88" t="str">
        <x:f>IF(C169="","",MIN(D169+E169,$Q$18))</x:f>
      </x:c>
      <x:c r="G169" s="88" t="str">
        <x:f>IF(C169="","",MIN(MAX(0,D169+E169-F169),SUMIFS(SONDERZAHLUNGEN!$E$9:$E$128,SONDERZAHLUNGEN!$B$9:$B$128,C169,SONDERZAHLUNGEN!$C$9:$C$128,A169,SONDERZAHLUNGEN!$H$9:$H$128,"OK",SONDERZAHLUNGEN!$F$9:$F$128,"Ja")))</x:f>
      </x:c>
      <x:c r="H169" s="88" t="str">
        <x:f>IF(C169="","",MIN(MAX(0,D169+E169-F169-G169),MAX(0,IF(MONATSBUDGET!$C$15="",0,MONATSBUDGET!$C$15)-SUM(F160:F179)-SUM(H160:H168))))</x:f>
      </x:c>
      <x:c r="I169" s="88" t="str">
        <x:f>IF(C169="","",MAX(0,ROUND(D169+E169-F169-G169-H169,2)))</x:f>
      </x:c>
      <x:c r="J169" s="88" t="str">
        <x:f>IF(C169="","",F169+G169+H169)</x:f>
      </x:c>
      <x:c r="K169" s="88" t="str">
        <x:f>IF(C169="","",MAX(0,SUMIFS(SONDERZAHLUNGEN!$E$9:$E$128,SONDERZAHLUNGEN!$B$9:$B$128,C169,SONDERZAHLUNGEN!$C$9:$C$128,A169,SONDERZAHLUNGEN!$H$9:$H$128,"OK",SONDERZAHLUNGEN!$F$9:$F$128,"Ja")-G169))</x:f>
      </x:c>
    </x:row>
    <x:row r="170" ht="19" customHeight="1">
      <x:c r="A170" s="90" t="n">
        <x:f>MONATSBUDGET!$A$15</x:f>
        <x:v>46447</x:v>
      </x:c>
      <x:c r="B170" t="n">
        <x:f>11</x:f>
        <x:v>11</x:v>
      </x:c>
      <x:c r="C170" t="str">
        <x:f>IF($N$19="","",$N$19)</x:f>
      </x:c>
      <x:c r="D170" s="88" t="str">
        <x:f>IF(C170="","",I150)</x:f>
      </x:c>
      <x:c r="E170" s="88" t="str">
        <x:f>IF(C170="","",ROUND(D170*$P$19/12,2))</x:f>
      </x:c>
      <x:c r="F170" s="88" t="str">
        <x:f>IF(C170="","",MIN(D170+E170,$Q$19))</x:f>
      </x:c>
      <x:c r="G170" s="88" t="str">
        <x:f>IF(C170="","",MIN(MAX(0,D170+E170-F170),SUMIFS(SONDERZAHLUNGEN!$E$9:$E$128,SONDERZAHLUNGEN!$B$9:$B$128,C170,SONDERZAHLUNGEN!$C$9:$C$128,A170,SONDERZAHLUNGEN!$H$9:$H$128,"OK",SONDERZAHLUNGEN!$F$9:$F$128,"Ja")))</x:f>
      </x:c>
      <x:c r="H170" s="88" t="str">
        <x:f>IF(C170="","",MIN(MAX(0,D170+E170-F170-G170),MAX(0,IF(MONATSBUDGET!$C$15="",0,MONATSBUDGET!$C$15)-SUM(F160:F179)-SUM(H160:H169))))</x:f>
      </x:c>
      <x:c r="I170" s="88" t="str">
        <x:f>IF(C170="","",MAX(0,ROUND(D170+E170-F170-G170-H170,2)))</x:f>
      </x:c>
      <x:c r="J170" s="88" t="str">
        <x:f>IF(C170="","",F170+G170+H170)</x:f>
      </x:c>
      <x:c r="K170" s="88" t="str">
        <x:f>IF(C170="","",MAX(0,SUMIFS(SONDERZAHLUNGEN!$E$9:$E$128,SONDERZAHLUNGEN!$B$9:$B$128,C170,SONDERZAHLUNGEN!$C$9:$C$128,A170,SONDERZAHLUNGEN!$H$9:$H$128,"OK",SONDERZAHLUNGEN!$F$9:$F$128,"Ja")-G170))</x:f>
      </x:c>
    </x:row>
    <x:row r="171" ht="19" customHeight="1">
      <x:c r="A171" s="90" t="n">
        <x:f>MONATSBUDGET!$A$15</x:f>
        <x:v>46447</x:v>
      </x:c>
      <x:c r="B171" t="n">
        <x:f>12</x:f>
        <x:v>12</x:v>
      </x:c>
      <x:c r="C171" t="str">
        <x:f>IF($N$20="","",$N$20)</x:f>
      </x:c>
      <x:c r="D171" s="88" t="str">
        <x:f>IF(C171="","",I151)</x:f>
      </x:c>
      <x:c r="E171" s="88" t="str">
        <x:f>IF(C171="","",ROUND(D171*$P$20/12,2))</x:f>
      </x:c>
      <x:c r="F171" s="88" t="str">
        <x:f>IF(C171="","",MIN(D171+E171,$Q$20))</x:f>
      </x:c>
      <x:c r="G171" s="88" t="str">
        <x:f>IF(C171="","",MIN(MAX(0,D171+E171-F171),SUMIFS(SONDERZAHLUNGEN!$E$9:$E$128,SONDERZAHLUNGEN!$B$9:$B$128,C171,SONDERZAHLUNGEN!$C$9:$C$128,A171,SONDERZAHLUNGEN!$H$9:$H$128,"OK",SONDERZAHLUNGEN!$F$9:$F$128,"Ja")))</x:f>
      </x:c>
      <x:c r="H171" s="88" t="str">
        <x:f>IF(C171="","",MIN(MAX(0,D171+E171-F171-G171),MAX(0,IF(MONATSBUDGET!$C$15="",0,MONATSBUDGET!$C$15)-SUM(F160:F179)-SUM(H160:H170))))</x:f>
      </x:c>
      <x:c r="I171" s="88" t="str">
        <x:f>IF(C171="","",MAX(0,ROUND(D171+E171-F171-G171-H171,2)))</x:f>
      </x:c>
      <x:c r="J171" s="88" t="str">
        <x:f>IF(C171="","",F171+G171+H171)</x:f>
      </x:c>
      <x:c r="K171" s="88" t="str">
        <x:f>IF(C171="","",MAX(0,SUMIFS(SONDERZAHLUNGEN!$E$9:$E$128,SONDERZAHLUNGEN!$B$9:$B$128,C171,SONDERZAHLUNGEN!$C$9:$C$128,A171,SONDERZAHLUNGEN!$H$9:$H$128,"OK",SONDERZAHLUNGEN!$F$9:$F$128,"Ja")-G171))</x:f>
      </x:c>
    </x:row>
    <x:row r="172" ht="19" customHeight="1">
      <x:c r="A172" s="90" t="n">
        <x:f>MONATSBUDGET!$A$15</x:f>
        <x:v>46447</x:v>
      </x:c>
      <x:c r="B172" t="n">
        <x:f>13</x:f>
        <x:v>13</x:v>
      </x:c>
      <x:c r="C172" t="str">
        <x:f>IF($N$21="","",$N$21)</x:f>
      </x:c>
      <x:c r="D172" s="88" t="str">
        <x:f>IF(C172="","",I152)</x:f>
      </x:c>
      <x:c r="E172" s="88" t="str">
        <x:f>IF(C172="","",ROUND(D172*$P$21/12,2))</x:f>
      </x:c>
      <x:c r="F172" s="88" t="str">
        <x:f>IF(C172="","",MIN(D172+E172,$Q$21))</x:f>
      </x:c>
      <x:c r="G172" s="88" t="str">
        <x:f>IF(C172="","",MIN(MAX(0,D172+E172-F172),SUMIFS(SONDERZAHLUNGEN!$E$9:$E$128,SONDERZAHLUNGEN!$B$9:$B$128,C172,SONDERZAHLUNGEN!$C$9:$C$128,A172,SONDERZAHLUNGEN!$H$9:$H$128,"OK",SONDERZAHLUNGEN!$F$9:$F$128,"Ja")))</x:f>
      </x:c>
      <x:c r="H172" s="88" t="str">
        <x:f>IF(C172="","",MIN(MAX(0,D172+E172-F172-G172),MAX(0,IF(MONATSBUDGET!$C$15="",0,MONATSBUDGET!$C$15)-SUM(F160:F179)-SUM(H160:H171))))</x:f>
      </x:c>
      <x:c r="I172" s="88" t="str">
        <x:f>IF(C172="","",MAX(0,ROUND(D172+E172-F172-G172-H172,2)))</x:f>
      </x:c>
      <x:c r="J172" s="88" t="str">
        <x:f>IF(C172="","",F172+G172+H172)</x:f>
      </x:c>
      <x:c r="K172" s="88" t="str">
        <x:f>IF(C172="","",MAX(0,SUMIFS(SONDERZAHLUNGEN!$E$9:$E$128,SONDERZAHLUNGEN!$B$9:$B$128,C172,SONDERZAHLUNGEN!$C$9:$C$128,A172,SONDERZAHLUNGEN!$H$9:$H$128,"OK",SONDERZAHLUNGEN!$F$9:$F$128,"Ja")-G172))</x:f>
      </x:c>
    </x:row>
    <x:row r="173" ht="19" customHeight="1">
      <x:c r="A173" s="90" t="n">
        <x:f>MONATSBUDGET!$A$15</x:f>
        <x:v>46447</x:v>
      </x:c>
      <x:c r="B173" t="n">
        <x:f>14</x:f>
        <x:v>14</x:v>
      </x:c>
      <x:c r="C173" t="str">
        <x:f>IF($N$22="","",$N$22)</x:f>
      </x:c>
      <x:c r="D173" s="88" t="str">
        <x:f>IF(C173="","",I153)</x:f>
      </x:c>
      <x:c r="E173" s="88" t="str">
        <x:f>IF(C173="","",ROUND(D173*$P$22/12,2))</x:f>
      </x:c>
      <x:c r="F173" s="88" t="str">
        <x:f>IF(C173="","",MIN(D173+E173,$Q$22))</x:f>
      </x:c>
      <x:c r="G173" s="88" t="str">
        <x:f>IF(C173="","",MIN(MAX(0,D173+E173-F173),SUMIFS(SONDERZAHLUNGEN!$E$9:$E$128,SONDERZAHLUNGEN!$B$9:$B$128,C173,SONDERZAHLUNGEN!$C$9:$C$128,A173,SONDERZAHLUNGEN!$H$9:$H$128,"OK",SONDERZAHLUNGEN!$F$9:$F$128,"Ja")))</x:f>
      </x:c>
      <x:c r="H173" s="88" t="str">
        <x:f>IF(C173="","",MIN(MAX(0,D173+E173-F173-G173),MAX(0,IF(MONATSBUDGET!$C$15="",0,MONATSBUDGET!$C$15)-SUM(F160:F179)-SUM(H160:H172))))</x:f>
      </x:c>
      <x:c r="I173" s="88" t="str">
        <x:f>IF(C173="","",MAX(0,ROUND(D173+E173-F173-G173-H173,2)))</x:f>
      </x:c>
      <x:c r="J173" s="88" t="str">
        <x:f>IF(C173="","",F173+G173+H173)</x:f>
      </x:c>
      <x:c r="K173" s="88" t="str">
        <x:f>IF(C173="","",MAX(0,SUMIFS(SONDERZAHLUNGEN!$E$9:$E$128,SONDERZAHLUNGEN!$B$9:$B$128,C173,SONDERZAHLUNGEN!$C$9:$C$128,A173,SONDERZAHLUNGEN!$H$9:$H$128,"OK",SONDERZAHLUNGEN!$F$9:$F$128,"Ja")-G173))</x:f>
      </x:c>
    </x:row>
    <x:row r="174" ht="19" customHeight="1">
      <x:c r="A174" s="90" t="n">
        <x:f>MONATSBUDGET!$A$15</x:f>
        <x:v>46447</x:v>
      </x:c>
      <x:c r="B174" t="n">
        <x:f>15</x:f>
        <x:v>15</x:v>
      </x:c>
      <x:c r="C174" t="str">
        <x:f>IF($N$23="","",$N$23)</x:f>
      </x:c>
      <x:c r="D174" s="88" t="str">
        <x:f>IF(C174="","",I154)</x:f>
      </x:c>
      <x:c r="E174" s="88" t="str">
        <x:f>IF(C174="","",ROUND(D174*$P$23/12,2))</x:f>
      </x:c>
      <x:c r="F174" s="88" t="str">
        <x:f>IF(C174="","",MIN(D174+E174,$Q$23))</x:f>
      </x:c>
      <x:c r="G174" s="88" t="str">
        <x:f>IF(C174="","",MIN(MAX(0,D174+E174-F174),SUMIFS(SONDERZAHLUNGEN!$E$9:$E$128,SONDERZAHLUNGEN!$B$9:$B$128,C174,SONDERZAHLUNGEN!$C$9:$C$128,A174,SONDERZAHLUNGEN!$H$9:$H$128,"OK",SONDERZAHLUNGEN!$F$9:$F$128,"Ja")))</x:f>
      </x:c>
      <x:c r="H174" s="88" t="str">
        <x:f>IF(C174="","",MIN(MAX(0,D174+E174-F174-G174),MAX(0,IF(MONATSBUDGET!$C$15="",0,MONATSBUDGET!$C$15)-SUM(F160:F179)-SUM(H160:H173))))</x:f>
      </x:c>
      <x:c r="I174" s="88" t="str">
        <x:f>IF(C174="","",MAX(0,ROUND(D174+E174-F174-G174-H174,2)))</x:f>
      </x:c>
      <x:c r="J174" s="88" t="str">
        <x:f>IF(C174="","",F174+G174+H174)</x:f>
      </x:c>
      <x:c r="K174" s="88" t="str">
        <x:f>IF(C174="","",MAX(0,SUMIFS(SONDERZAHLUNGEN!$E$9:$E$128,SONDERZAHLUNGEN!$B$9:$B$128,C174,SONDERZAHLUNGEN!$C$9:$C$128,A174,SONDERZAHLUNGEN!$H$9:$H$128,"OK",SONDERZAHLUNGEN!$F$9:$F$128,"Ja")-G174))</x:f>
      </x:c>
    </x:row>
    <x:row r="175" ht="19" customHeight="1">
      <x:c r="A175" s="90" t="n">
        <x:f>MONATSBUDGET!$A$15</x:f>
        <x:v>46447</x:v>
      </x:c>
      <x:c r="B175" t="n">
        <x:f>16</x:f>
        <x:v>16</x:v>
      </x:c>
      <x:c r="C175" t="str">
        <x:f>IF($N$24="","",$N$24)</x:f>
      </x:c>
      <x:c r="D175" s="88" t="str">
        <x:f>IF(C175="","",I155)</x:f>
      </x:c>
      <x:c r="E175" s="88" t="str">
        <x:f>IF(C175="","",ROUND(D175*$P$24/12,2))</x:f>
      </x:c>
      <x:c r="F175" s="88" t="str">
        <x:f>IF(C175="","",MIN(D175+E175,$Q$24))</x:f>
      </x:c>
      <x:c r="G175" s="88" t="str">
        <x:f>IF(C175="","",MIN(MAX(0,D175+E175-F175),SUMIFS(SONDERZAHLUNGEN!$E$9:$E$128,SONDERZAHLUNGEN!$B$9:$B$128,C175,SONDERZAHLUNGEN!$C$9:$C$128,A175,SONDERZAHLUNGEN!$H$9:$H$128,"OK",SONDERZAHLUNGEN!$F$9:$F$128,"Ja")))</x:f>
      </x:c>
      <x:c r="H175" s="88" t="str">
        <x:f>IF(C175="","",MIN(MAX(0,D175+E175-F175-G175),MAX(0,IF(MONATSBUDGET!$C$15="",0,MONATSBUDGET!$C$15)-SUM(F160:F179)-SUM(H160:H174))))</x:f>
      </x:c>
      <x:c r="I175" s="88" t="str">
        <x:f>IF(C175="","",MAX(0,ROUND(D175+E175-F175-G175-H175,2)))</x:f>
      </x:c>
      <x:c r="J175" s="88" t="str">
        <x:f>IF(C175="","",F175+G175+H175)</x:f>
      </x:c>
      <x:c r="K175" s="88" t="str">
        <x:f>IF(C175="","",MAX(0,SUMIFS(SONDERZAHLUNGEN!$E$9:$E$128,SONDERZAHLUNGEN!$B$9:$B$128,C175,SONDERZAHLUNGEN!$C$9:$C$128,A175,SONDERZAHLUNGEN!$H$9:$H$128,"OK",SONDERZAHLUNGEN!$F$9:$F$128,"Ja")-G175))</x:f>
      </x:c>
    </x:row>
    <x:row r="176" ht="19" customHeight="1">
      <x:c r="A176" s="90" t="n">
        <x:f>MONATSBUDGET!$A$15</x:f>
        <x:v>46447</x:v>
      </x:c>
      <x:c r="B176" t="n">
        <x:f>17</x:f>
        <x:v>17</x:v>
      </x:c>
      <x:c r="C176" t="str">
        <x:f>IF($N$25="","",$N$25)</x:f>
      </x:c>
      <x:c r="D176" s="88" t="str">
        <x:f>IF(C176="","",I156)</x:f>
      </x:c>
      <x:c r="E176" s="88" t="str">
        <x:f>IF(C176="","",ROUND(D176*$P$25/12,2))</x:f>
      </x:c>
      <x:c r="F176" s="88" t="str">
        <x:f>IF(C176="","",MIN(D176+E176,$Q$25))</x:f>
      </x:c>
      <x:c r="G176" s="88" t="str">
        <x:f>IF(C176="","",MIN(MAX(0,D176+E176-F176),SUMIFS(SONDERZAHLUNGEN!$E$9:$E$128,SONDERZAHLUNGEN!$B$9:$B$128,C176,SONDERZAHLUNGEN!$C$9:$C$128,A176,SONDERZAHLUNGEN!$H$9:$H$128,"OK",SONDERZAHLUNGEN!$F$9:$F$128,"Ja")))</x:f>
      </x:c>
      <x:c r="H176" s="88" t="str">
        <x:f>IF(C176="","",MIN(MAX(0,D176+E176-F176-G176),MAX(0,IF(MONATSBUDGET!$C$15="",0,MONATSBUDGET!$C$15)-SUM(F160:F179)-SUM(H160:H175))))</x:f>
      </x:c>
      <x:c r="I176" s="88" t="str">
        <x:f>IF(C176="","",MAX(0,ROUND(D176+E176-F176-G176-H176,2)))</x:f>
      </x:c>
      <x:c r="J176" s="88" t="str">
        <x:f>IF(C176="","",F176+G176+H176)</x:f>
      </x:c>
      <x:c r="K176" s="88" t="str">
        <x:f>IF(C176="","",MAX(0,SUMIFS(SONDERZAHLUNGEN!$E$9:$E$128,SONDERZAHLUNGEN!$B$9:$B$128,C176,SONDERZAHLUNGEN!$C$9:$C$128,A176,SONDERZAHLUNGEN!$H$9:$H$128,"OK",SONDERZAHLUNGEN!$F$9:$F$128,"Ja")-G176))</x:f>
      </x:c>
    </x:row>
    <x:row r="177" ht="19" customHeight="1">
      <x:c r="A177" s="90" t="n">
        <x:f>MONATSBUDGET!$A$15</x:f>
        <x:v>46447</x:v>
      </x:c>
      <x:c r="B177" t="n">
        <x:f>18</x:f>
        <x:v>18</x:v>
      </x:c>
      <x:c r="C177" t="str">
        <x:f>IF($N$26="","",$N$26)</x:f>
      </x:c>
      <x:c r="D177" s="88" t="str">
        <x:f>IF(C177="","",I157)</x:f>
      </x:c>
      <x:c r="E177" s="88" t="str">
        <x:f>IF(C177="","",ROUND(D177*$P$26/12,2))</x:f>
      </x:c>
      <x:c r="F177" s="88" t="str">
        <x:f>IF(C177="","",MIN(D177+E177,$Q$26))</x:f>
      </x:c>
      <x:c r="G177" s="88" t="str">
        <x:f>IF(C177="","",MIN(MAX(0,D177+E177-F177),SUMIFS(SONDERZAHLUNGEN!$E$9:$E$128,SONDERZAHLUNGEN!$B$9:$B$128,C177,SONDERZAHLUNGEN!$C$9:$C$128,A177,SONDERZAHLUNGEN!$H$9:$H$128,"OK",SONDERZAHLUNGEN!$F$9:$F$128,"Ja")))</x:f>
      </x:c>
      <x:c r="H177" s="88" t="str">
        <x:f>IF(C177="","",MIN(MAX(0,D177+E177-F177-G177),MAX(0,IF(MONATSBUDGET!$C$15="",0,MONATSBUDGET!$C$15)-SUM(F160:F179)-SUM(H160:H176))))</x:f>
      </x:c>
      <x:c r="I177" s="88" t="str">
        <x:f>IF(C177="","",MAX(0,ROUND(D177+E177-F177-G177-H177,2)))</x:f>
      </x:c>
      <x:c r="J177" s="88" t="str">
        <x:f>IF(C177="","",F177+G177+H177)</x:f>
      </x:c>
      <x:c r="K177" s="88" t="str">
        <x:f>IF(C177="","",MAX(0,SUMIFS(SONDERZAHLUNGEN!$E$9:$E$128,SONDERZAHLUNGEN!$B$9:$B$128,C177,SONDERZAHLUNGEN!$C$9:$C$128,A177,SONDERZAHLUNGEN!$H$9:$H$128,"OK",SONDERZAHLUNGEN!$F$9:$F$128,"Ja")-G177))</x:f>
      </x:c>
    </x:row>
    <x:row r="178" ht="19" customHeight="1">
      <x:c r="A178" s="90" t="n">
        <x:f>MONATSBUDGET!$A$15</x:f>
        <x:v>46447</x:v>
      </x:c>
      <x:c r="B178" t="n">
        <x:f>19</x:f>
        <x:v>19</x:v>
      </x:c>
      <x:c r="C178" t="str">
        <x:f>IF($N$27="","",$N$27)</x:f>
      </x:c>
      <x:c r="D178" s="88" t="str">
        <x:f>IF(C178="","",I158)</x:f>
      </x:c>
      <x:c r="E178" s="88" t="str">
        <x:f>IF(C178="","",ROUND(D178*$P$27/12,2))</x:f>
      </x:c>
      <x:c r="F178" s="88" t="str">
        <x:f>IF(C178="","",MIN(D178+E178,$Q$27))</x:f>
      </x:c>
      <x:c r="G178" s="88" t="str">
        <x:f>IF(C178="","",MIN(MAX(0,D178+E178-F178),SUMIFS(SONDERZAHLUNGEN!$E$9:$E$128,SONDERZAHLUNGEN!$B$9:$B$128,C178,SONDERZAHLUNGEN!$C$9:$C$128,A178,SONDERZAHLUNGEN!$H$9:$H$128,"OK",SONDERZAHLUNGEN!$F$9:$F$128,"Ja")))</x:f>
      </x:c>
      <x:c r="H178" s="88" t="str">
        <x:f>IF(C178="","",MIN(MAX(0,D178+E178-F178-G178),MAX(0,IF(MONATSBUDGET!$C$15="",0,MONATSBUDGET!$C$15)-SUM(F160:F179)-SUM(H160:H177))))</x:f>
      </x:c>
      <x:c r="I178" s="88" t="str">
        <x:f>IF(C178="","",MAX(0,ROUND(D178+E178-F178-G178-H178,2)))</x:f>
      </x:c>
      <x:c r="J178" s="88" t="str">
        <x:f>IF(C178="","",F178+G178+H178)</x:f>
      </x:c>
      <x:c r="K178" s="88" t="str">
        <x:f>IF(C178="","",MAX(0,SUMIFS(SONDERZAHLUNGEN!$E$9:$E$128,SONDERZAHLUNGEN!$B$9:$B$128,C178,SONDERZAHLUNGEN!$C$9:$C$128,A178,SONDERZAHLUNGEN!$H$9:$H$128,"OK",SONDERZAHLUNGEN!$F$9:$F$128,"Ja")-G178))</x:f>
      </x:c>
    </x:row>
    <x:row r="179" ht="19" customHeight="1">
      <x:c r="A179" s="90" t="n">
        <x:f>MONATSBUDGET!$A$15</x:f>
        <x:v>46447</x:v>
      </x:c>
      <x:c r="B179" t="n">
        <x:f>20</x:f>
        <x:v>20</x:v>
      </x:c>
      <x:c r="C179" t="str">
        <x:f>IF($N$28="","",$N$28)</x:f>
      </x:c>
      <x:c r="D179" s="88" t="str">
        <x:f>IF(C179="","",I159)</x:f>
      </x:c>
      <x:c r="E179" s="88" t="str">
        <x:f>IF(C179="","",ROUND(D179*$P$28/12,2))</x:f>
      </x:c>
      <x:c r="F179" s="88" t="str">
        <x:f>IF(C179="","",MIN(D179+E179,$Q$28))</x:f>
      </x:c>
      <x:c r="G179" s="88" t="str">
        <x:f>IF(C179="","",MIN(MAX(0,D179+E179-F179),SUMIFS(SONDERZAHLUNGEN!$E$9:$E$128,SONDERZAHLUNGEN!$B$9:$B$128,C179,SONDERZAHLUNGEN!$C$9:$C$128,A179,SONDERZAHLUNGEN!$H$9:$H$128,"OK",SONDERZAHLUNGEN!$F$9:$F$128,"Ja")))</x:f>
      </x:c>
      <x:c r="H179" s="88" t="str">
        <x:f>IF(C179="","",MIN(MAX(0,D179+E179-F179-G179),MAX(0,IF(MONATSBUDGET!$C$15="",0,MONATSBUDGET!$C$15)-SUM(F160:F179)-SUM(H160:H178))))</x:f>
      </x:c>
      <x:c r="I179" s="88" t="str">
        <x:f>IF(C179="","",MAX(0,ROUND(D179+E179-F179-G179-H179,2)))</x:f>
      </x:c>
      <x:c r="J179" s="88" t="str">
        <x:f>IF(C179="","",F179+G179+H179)</x:f>
      </x:c>
      <x:c r="K179" s="88" t="str">
        <x:f>IF(C179="","",MAX(0,SUMIFS(SONDERZAHLUNGEN!$E$9:$E$128,SONDERZAHLUNGEN!$B$9:$B$128,C179,SONDERZAHLUNGEN!$C$9:$C$128,A179,SONDERZAHLUNGEN!$H$9:$H$128,"OK",SONDERZAHLUNGEN!$F$9:$F$128,"Ja")-G179))</x:f>
      </x:c>
    </x:row>
    <x:row r="180" ht="19" customHeight="1">
      <x:c r="A180" s="90" t="n">
        <x:f>MONATSBUDGET!$A$16</x:f>
        <x:v>46478</x:v>
      </x:c>
      <x:c r="B180" t="n">
        <x:f>1</x:f>
        <x:v>1</x:v>
      </x:c>
      <x:c r="C180" t="str">
        <x:f>IF($N$9="","",$N$9)</x:f>
      </x:c>
      <x:c r="D180" s="88" t="str">
        <x:f>IF(C180="","",I160)</x:f>
      </x:c>
      <x:c r="E180" s="88" t="str">
        <x:f>IF(C180="","",ROUND(D180*$P$9/12,2))</x:f>
      </x:c>
      <x:c r="F180" s="88" t="str">
        <x:f>IF(C180="","",MIN(D180+E180,$Q$9))</x:f>
      </x:c>
      <x:c r="G180" s="88" t="str">
        <x:f>IF(C180="","",MIN(MAX(0,D180+E180-F180),SUMIFS(SONDERZAHLUNGEN!$E$9:$E$128,SONDERZAHLUNGEN!$B$9:$B$128,C180,SONDERZAHLUNGEN!$C$9:$C$128,A180,SONDERZAHLUNGEN!$H$9:$H$128,"OK",SONDERZAHLUNGEN!$F$9:$F$128,"Ja")))</x:f>
      </x:c>
      <x:c r="H180" s="88" t="str">
        <x:f>IF(C180="","",MIN(MAX(0,D180+E180-F180-G180),MAX(0,IF(MONATSBUDGET!$C$16="",0,MONATSBUDGET!$C$16)-SUM(F180:F199)-0)))</x:f>
      </x:c>
      <x:c r="I180" s="88" t="str">
        <x:f>IF(C180="","",MAX(0,ROUND(D180+E180-F180-G180-H180,2)))</x:f>
      </x:c>
      <x:c r="J180" s="88" t="str">
        <x:f>IF(C180="","",F180+G180+H180)</x:f>
      </x:c>
      <x:c r="K180" s="88" t="str">
        <x:f>IF(C180="","",MAX(0,SUMIFS(SONDERZAHLUNGEN!$E$9:$E$128,SONDERZAHLUNGEN!$B$9:$B$128,C180,SONDERZAHLUNGEN!$C$9:$C$128,A180,SONDERZAHLUNGEN!$H$9:$H$128,"OK",SONDERZAHLUNGEN!$F$9:$F$128,"Ja")-G180))</x:f>
      </x:c>
    </x:row>
    <x:row r="181" ht="19" customHeight="1">
      <x:c r="A181" s="90" t="n">
        <x:f>MONATSBUDGET!$A$16</x:f>
        <x:v>46478</x:v>
      </x:c>
      <x:c r="B181" t="n">
        <x:f>2</x:f>
        <x:v>2</x:v>
      </x:c>
      <x:c r="C181" t="str">
        <x:f>IF($N$10="","",$N$10)</x:f>
      </x:c>
      <x:c r="D181" s="88" t="str">
        <x:f>IF(C181="","",I161)</x:f>
      </x:c>
      <x:c r="E181" s="88" t="str">
        <x:f>IF(C181="","",ROUND(D181*$P$10/12,2))</x:f>
      </x:c>
      <x:c r="F181" s="88" t="str">
        <x:f>IF(C181="","",MIN(D181+E181,$Q$10))</x:f>
      </x:c>
      <x:c r="G181" s="88" t="str">
        <x:f>IF(C181="","",MIN(MAX(0,D181+E181-F181),SUMIFS(SONDERZAHLUNGEN!$E$9:$E$128,SONDERZAHLUNGEN!$B$9:$B$128,C181,SONDERZAHLUNGEN!$C$9:$C$128,A181,SONDERZAHLUNGEN!$H$9:$H$128,"OK",SONDERZAHLUNGEN!$F$9:$F$128,"Ja")))</x:f>
      </x:c>
      <x:c r="H181" s="88" t="str">
        <x:f>IF(C181="","",MIN(MAX(0,D181+E181-F181-G181),MAX(0,IF(MONATSBUDGET!$C$16="",0,MONATSBUDGET!$C$16)-SUM(F180:F199)-SUM(H180:H180))))</x:f>
      </x:c>
      <x:c r="I181" s="88" t="str">
        <x:f>IF(C181="","",MAX(0,ROUND(D181+E181-F181-G181-H181,2)))</x:f>
      </x:c>
      <x:c r="J181" s="88" t="str">
        <x:f>IF(C181="","",F181+G181+H181)</x:f>
      </x:c>
      <x:c r="K181" s="88" t="str">
        <x:f>IF(C181="","",MAX(0,SUMIFS(SONDERZAHLUNGEN!$E$9:$E$128,SONDERZAHLUNGEN!$B$9:$B$128,C181,SONDERZAHLUNGEN!$C$9:$C$128,A181,SONDERZAHLUNGEN!$H$9:$H$128,"OK",SONDERZAHLUNGEN!$F$9:$F$128,"Ja")-G181))</x:f>
      </x:c>
    </x:row>
    <x:row r="182" ht="19" customHeight="1">
      <x:c r="A182" s="90" t="n">
        <x:f>MONATSBUDGET!$A$16</x:f>
        <x:v>46478</x:v>
      </x:c>
      <x:c r="B182" t="n">
        <x:f>3</x:f>
        <x:v>3</x:v>
      </x:c>
      <x:c r="C182" t="str">
        <x:f>IF($N$11="","",$N$11)</x:f>
      </x:c>
      <x:c r="D182" s="88" t="str">
        <x:f>IF(C182="","",I162)</x:f>
      </x:c>
      <x:c r="E182" s="88" t="str">
        <x:f>IF(C182="","",ROUND(D182*$P$11/12,2))</x:f>
      </x:c>
      <x:c r="F182" s="88" t="str">
        <x:f>IF(C182="","",MIN(D182+E182,$Q$11))</x:f>
      </x:c>
      <x:c r="G182" s="88" t="str">
        <x:f>IF(C182="","",MIN(MAX(0,D182+E182-F182),SUMIFS(SONDERZAHLUNGEN!$E$9:$E$128,SONDERZAHLUNGEN!$B$9:$B$128,C182,SONDERZAHLUNGEN!$C$9:$C$128,A182,SONDERZAHLUNGEN!$H$9:$H$128,"OK",SONDERZAHLUNGEN!$F$9:$F$128,"Ja")))</x:f>
      </x:c>
      <x:c r="H182" s="88" t="str">
        <x:f>IF(C182="","",MIN(MAX(0,D182+E182-F182-G182),MAX(0,IF(MONATSBUDGET!$C$16="",0,MONATSBUDGET!$C$16)-SUM(F180:F199)-SUM(H180:H181))))</x:f>
      </x:c>
      <x:c r="I182" s="88" t="str">
        <x:f>IF(C182="","",MAX(0,ROUND(D182+E182-F182-G182-H182,2)))</x:f>
      </x:c>
      <x:c r="J182" s="88" t="str">
        <x:f>IF(C182="","",F182+G182+H182)</x:f>
      </x:c>
      <x:c r="K182" s="88" t="str">
        <x:f>IF(C182="","",MAX(0,SUMIFS(SONDERZAHLUNGEN!$E$9:$E$128,SONDERZAHLUNGEN!$B$9:$B$128,C182,SONDERZAHLUNGEN!$C$9:$C$128,A182,SONDERZAHLUNGEN!$H$9:$H$128,"OK",SONDERZAHLUNGEN!$F$9:$F$128,"Ja")-G182))</x:f>
      </x:c>
    </x:row>
    <x:row r="183" ht="19" customHeight="1">
      <x:c r="A183" s="90" t="n">
        <x:f>MONATSBUDGET!$A$16</x:f>
        <x:v>46478</x:v>
      </x:c>
      <x:c r="B183" t="n">
        <x:f>4</x:f>
        <x:v>4</x:v>
      </x:c>
      <x:c r="C183" t="str">
        <x:f>IF($N$12="","",$N$12)</x:f>
      </x:c>
      <x:c r="D183" s="88" t="str">
        <x:f>IF(C183="","",I163)</x:f>
      </x:c>
      <x:c r="E183" s="88" t="str">
        <x:f>IF(C183="","",ROUND(D183*$P$12/12,2))</x:f>
      </x:c>
      <x:c r="F183" s="88" t="str">
        <x:f>IF(C183="","",MIN(D183+E183,$Q$12))</x:f>
      </x:c>
      <x:c r="G183" s="88" t="str">
        <x:f>IF(C183="","",MIN(MAX(0,D183+E183-F183),SUMIFS(SONDERZAHLUNGEN!$E$9:$E$128,SONDERZAHLUNGEN!$B$9:$B$128,C183,SONDERZAHLUNGEN!$C$9:$C$128,A183,SONDERZAHLUNGEN!$H$9:$H$128,"OK",SONDERZAHLUNGEN!$F$9:$F$128,"Ja")))</x:f>
      </x:c>
      <x:c r="H183" s="88" t="str">
        <x:f>IF(C183="","",MIN(MAX(0,D183+E183-F183-G183),MAX(0,IF(MONATSBUDGET!$C$16="",0,MONATSBUDGET!$C$16)-SUM(F180:F199)-SUM(H180:H182))))</x:f>
      </x:c>
      <x:c r="I183" s="88" t="str">
        <x:f>IF(C183="","",MAX(0,ROUND(D183+E183-F183-G183-H183,2)))</x:f>
      </x:c>
      <x:c r="J183" s="88" t="str">
        <x:f>IF(C183="","",F183+G183+H183)</x:f>
      </x:c>
      <x:c r="K183" s="88" t="str">
        <x:f>IF(C183="","",MAX(0,SUMIFS(SONDERZAHLUNGEN!$E$9:$E$128,SONDERZAHLUNGEN!$B$9:$B$128,C183,SONDERZAHLUNGEN!$C$9:$C$128,A183,SONDERZAHLUNGEN!$H$9:$H$128,"OK",SONDERZAHLUNGEN!$F$9:$F$128,"Ja")-G183))</x:f>
      </x:c>
    </x:row>
    <x:row r="184" ht="19" customHeight="1">
      <x:c r="A184" s="90" t="n">
        <x:f>MONATSBUDGET!$A$16</x:f>
        <x:v>46478</x:v>
      </x:c>
      <x:c r="B184" t="n">
        <x:f>5</x:f>
        <x:v>5</x:v>
      </x:c>
      <x:c r="C184" t="str">
        <x:f>IF($N$13="","",$N$13)</x:f>
      </x:c>
      <x:c r="D184" s="88" t="str">
        <x:f>IF(C184="","",I164)</x:f>
      </x:c>
      <x:c r="E184" s="88" t="str">
        <x:f>IF(C184="","",ROUND(D184*$P$13/12,2))</x:f>
      </x:c>
      <x:c r="F184" s="88" t="str">
        <x:f>IF(C184="","",MIN(D184+E184,$Q$13))</x:f>
      </x:c>
      <x:c r="G184" s="88" t="str">
        <x:f>IF(C184="","",MIN(MAX(0,D184+E184-F184),SUMIFS(SONDERZAHLUNGEN!$E$9:$E$128,SONDERZAHLUNGEN!$B$9:$B$128,C184,SONDERZAHLUNGEN!$C$9:$C$128,A184,SONDERZAHLUNGEN!$H$9:$H$128,"OK",SONDERZAHLUNGEN!$F$9:$F$128,"Ja")))</x:f>
      </x:c>
      <x:c r="H184" s="88" t="str">
        <x:f>IF(C184="","",MIN(MAX(0,D184+E184-F184-G184),MAX(0,IF(MONATSBUDGET!$C$16="",0,MONATSBUDGET!$C$16)-SUM(F180:F199)-SUM(H180:H183))))</x:f>
      </x:c>
      <x:c r="I184" s="88" t="str">
        <x:f>IF(C184="","",MAX(0,ROUND(D184+E184-F184-G184-H184,2)))</x:f>
      </x:c>
      <x:c r="J184" s="88" t="str">
        <x:f>IF(C184="","",F184+G184+H184)</x:f>
      </x:c>
      <x:c r="K184" s="88" t="str">
        <x:f>IF(C184="","",MAX(0,SUMIFS(SONDERZAHLUNGEN!$E$9:$E$128,SONDERZAHLUNGEN!$B$9:$B$128,C184,SONDERZAHLUNGEN!$C$9:$C$128,A184,SONDERZAHLUNGEN!$H$9:$H$128,"OK",SONDERZAHLUNGEN!$F$9:$F$128,"Ja")-G184))</x:f>
      </x:c>
    </x:row>
    <x:row r="185" ht="19" customHeight="1">
      <x:c r="A185" s="90" t="n">
        <x:f>MONATSBUDGET!$A$16</x:f>
        <x:v>46478</x:v>
      </x:c>
      <x:c r="B185" t="n">
        <x:f>6</x:f>
        <x:v>6</x:v>
      </x:c>
      <x:c r="C185" t="str">
        <x:f>IF($N$14="","",$N$14)</x:f>
      </x:c>
      <x:c r="D185" s="88" t="str">
        <x:f>IF(C185="","",I165)</x:f>
      </x:c>
      <x:c r="E185" s="88" t="str">
        <x:f>IF(C185="","",ROUND(D185*$P$14/12,2))</x:f>
      </x:c>
      <x:c r="F185" s="88" t="str">
        <x:f>IF(C185="","",MIN(D185+E185,$Q$14))</x:f>
      </x:c>
      <x:c r="G185" s="88" t="str">
        <x:f>IF(C185="","",MIN(MAX(0,D185+E185-F185),SUMIFS(SONDERZAHLUNGEN!$E$9:$E$128,SONDERZAHLUNGEN!$B$9:$B$128,C185,SONDERZAHLUNGEN!$C$9:$C$128,A185,SONDERZAHLUNGEN!$H$9:$H$128,"OK",SONDERZAHLUNGEN!$F$9:$F$128,"Ja")))</x:f>
      </x:c>
      <x:c r="H185" s="88" t="str">
        <x:f>IF(C185="","",MIN(MAX(0,D185+E185-F185-G185),MAX(0,IF(MONATSBUDGET!$C$16="",0,MONATSBUDGET!$C$16)-SUM(F180:F199)-SUM(H180:H184))))</x:f>
      </x:c>
      <x:c r="I185" s="88" t="str">
        <x:f>IF(C185="","",MAX(0,ROUND(D185+E185-F185-G185-H185,2)))</x:f>
      </x:c>
      <x:c r="J185" s="88" t="str">
        <x:f>IF(C185="","",F185+G185+H185)</x:f>
      </x:c>
      <x:c r="K185" s="88" t="str">
        <x:f>IF(C185="","",MAX(0,SUMIFS(SONDERZAHLUNGEN!$E$9:$E$128,SONDERZAHLUNGEN!$B$9:$B$128,C185,SONDERZAHLUNGEN!$C$9:$C$128,A185,SONDERZAHLUNGEN!$H$9:$H$128,"OK",SONDERZAHLUNGEN!$F$9:$F$128,"Ja")-G185))</x:f>
      </x:c>
    </x:row>
    <x:row r="186" ht="19" customHeight="1">
      <x:c r="A186" s="90" t="n">
        <x:f>MONATSBUDGET!$A$16</x:f>
        <x:v>46478</x:v>
      </x:c>
      <x:c r="B186" t="n">
        <x:f>7</x:f>
        <x:v>7</x:v>
      </x:c>
      <x:c r="C186" t="str">
        <x:f>IF($N$15="","",$N$15)</x:f>
      </x:c>
      <x:c r="D186" s="88" t="str">
        <x:f>IF(C186="","",I166)</x:f>
      </x:c>
      <x:c r="E186" s="88" t="str">
        <x:f>IF(C186="","",ROUND(D186*$P$15/12,2))</x:f>
      </x:c>
      <x:c r="F186" s="88" t="str">
        <x:f>IF(C186="","",MIN(D186+E186,$Q$15))</x:f>
      </x:c>
      <x:c r="G186" s="88" t="str">
        <x:f>IF(C186="","",MIN(MAX(0,D186+E186-F186),SUMIFS(SONDERZAHLUNGEN!$E$9:$E$128,SONDERZAHLUNGEN!$B$9:$B$128,C186,SONDERZAHLUNGEN!$C$9:$C$128,A186,SONDERZAHLUNGEN!$H$9:$H$128,"OK",SONDERZAHLUNGEN!$F$9:$F$128,"Ja")))</x:f>
      </x:c>
      <x:c r="H186" s="88" t="str">
        <x:f>IF(C186="","",MIN(MAX(0,D186+E186-F186-G186),MAX(0,IF(MONATSBUDGET!$C$16="",0,MONATSBUDGET!$C$16)-SUM(F180:F199)-SUM(H180:H185))))</x:f>
      </x:c>
      <x:c r="I186" s="88" t="str">
        <x:f>IF(C186="","",MAX(0,ROUND(D186+E186-F186-G186-H186,2)))</x:f>
      </x:c>
      <x:c r="J186" s="88" t="str">
        <x:f>IF(C186="","",F186+G186+H186)</x:f>
      </x:c>
      <x:c r="K186" s="88" t="str">
        <x:f>IF(C186="","",MAX(0,SUMIFS(SONDERZAHLUNGEN!$E$9:$E$128,SONDERZAHLUNGEN!$B$9:$B$128,C186,SONDERZAHLUNGEN!$C$9:$C$128,A186,SONDERZAHLUNGEN!$H$9:$H$128,"OK",SONDERZAHLUNGEN!$F$9:$F$128,"Ja")-G186))</x:f>
      </x:c>
    </x:row>
    <x:row r="187" ht="19" customHeight="1">
      <x:c r="A187" s="90" t="n">
        <x:f>MONATSBUDGET!$A$16</x:f>
        <x:v>46478</x:v>
      </x:c>
      <x:c r="B187" t="n">
        <x:f>8</x:f>
        <x:v>8</x:v>
      </x:c>
      <x:c r="C187" t="str">
        <x:f>IF($N$16="","",$N$16)</x:f>
      </x:c>
      <x:c r="D187" s="88" t="str">
        <x:f>IF(C187="","",I167)</x:f>
      </x:c>
      <x:c r="E187" s="88" t="str">
        <x:f>IF(C187="","",ROUND(D187*$P$16/12,2))</x:f>
      </x:c>
      <x:c r="F187" s="88" t="str">
        <x:f>IF(C187="","",MIN(D187+E187,$Q$16))</x:f>
      </x:c>
      <x:c r="G187" s="88" t="str">
        <x:f>IF(C187="","",MIN(MAX(0,D187+E187-F187),SUMIFS(SONDERZAHLUNGEN!$E$9:$E$128,SONDERZAHLUNGEN!$B$9:$B$128,C187,SONDERZAHLUNGEN!$C$9:$C$128,A187,SONDERZAHLUNGEN!$H$9:$H$128,"OK",SONDERZAHLUNGEN!$F$9:$F$128,"Ja")))</x:f>
      </x:c>
      <x:c r="H187" s="88" t="str">
        <x:f>IF(C187="","",MIN(MAX(0,D187+E187-F187-G187),MAX(0,IF(MONATSBUDGET!$C$16="",0,MONATSBUDGET!$C$16)-SUM(F180:F199)-SUM(H180:H186))))</x:f>
      </x:c>
      <x:c r="I187" s="88" t="str">
        <x:f>IF(C187="","",MAX(0,ROUND(D187+E187-F187-G187-H187,2)))</x:f>
      </x:c>
      <x:c r="J187" s="88" t="str">
        <x:f>IF(C187="","",F187+G187+H187)</x:f>
      </x:c>
      <x:c r="K187" s="88" t="str">
        <x:f>IF(C187="","",MAX(0,SUMIFS(SONDERZAHLUNGEN!$E$9:$E$128,SONDERZAHLUNGEN!$B$9:$B$128,C187,SONDERZAHLUNGEN!$C$9:$C$128,A187,SONDERZAHLUNGEN!$H$9:$H$128,"OK",SONDERZAHLUNGEN!$F$9:$F$128,"Ja")-G187))</x:f>
      </x:c>
    </x:row>
    <x:row r="188" ht="19" customHeight="1">
      <x:c r="A188" s="90" t="n">
        <x:f>MONATSBUDGET!$A$16</x:f>
        <x:v>46478</x:v>
      </x:c>
      <x:c r="B188" t="n">
        <x:f>9</x:f>
        <x:v>9</x:v>
      </x:c>
      <x:c r="C188" t="str">
        <x:f>IF($N$17="","",$N$17)</x:f>
      </x:c>
      <x:c r="D188" s="88" t="str">
        <x:f>IF(C188="","",I168)</x:f>
      </x:c>
      <x:c r="E188" s="88" t="str">
        <x:f>IF(C188="","",ROUND(D188*$P$17/12,2))</x:f>
      </x:c>
      <x:c r="F188" s="88" t="str">
        <x:f>IF(C188="","",MIN(D188+E188,$Q$17))</x:f>
      </x:c>
      <x:c r="G188" s="88" t="str">
        <x:f>IF(C188="","",MIN(MAX(0,D188+E188-F188),SUMIFS(SONDERZAHLUNGEN!$E$9:$E$128,SONDERZAHLUNGEN!$B$9:$B$128,C188,SONDERZAHLUNGEN!$C$9:$C$128,A188,SONDERZAHLUNGEN!$H$9:$H$128,"OK",SONDERZAHLUNGEN!$F$9:$F$128,"Ja")))</x:f>
      </x:c>
      <x:c r="H188" s="88" t="str">
        <x:f>IF(C188="","",MIN(MAX(0,D188+E188-F188-G188),MAX(0,IF(MONATSBUDGET!$C$16="",0,MONATSBUDGET!$C$16)-SUM(F180:F199)-SUM(H180:H187))))</x:f>
      </x:c>
      <x:c r="I188" s="88" t="str">
        <x:f>IF(C188="","",MAX(0,ROUND(D188+E188-F188-G188-H188,2)))</x:f>
      </x:c>
      <x:c r="J188" s="88" t="str">
        <x:f>IF(C188="","",F188+G188+H188)</x:f>
      </x:c>
      <x:c r="K188" s="88" t="str">
        <x:f>IF(C188="","",MAX(0,SUMIFS(SONDERZAHLUNGEN!$E$9:$E$128,SONDERZAHLUNGEN!$B$9:$B$128,C188,SONDERZAHLUNGEN!$C$9:$C$128,A188,SONDERZAHLUNGEN!$H$9:$H$128,"OK",SONDERZAHLUNGEN!$F$9:$F$128,"Ja")-G188))</x:f>
      </x:c>
    </x:row>
    <x:row r="189" ht="19" customHeight="1">
      <x:c r="A189" s="90" t="n">
        <x:f>MONATSBUDGET!$A$16</x:f>
        <x:v>46478</x:v>
      </x:c>
      <x:c r="B189" t="n">
        <x:f>10</x:f>
        <x:v>10</x:v>
      </x:c>
      <x:c r="C189" t="str">
        <x:f>IF($N$18="","",$N$18)</x:f>
      </x:c>
      <x:c r="D189" s="88" t="str">
        <x:f>IF(C189="","",I169)</x:f>
      </x:c>
      <x:c r="E189" s="88" t="str">
        <x:f>IF(C189="","",ROUND(D189*$P$18/12,2))</x:f>
      </x:c>
      <x:c r="F189" s="88" t="str">
        <x:f>IF(C189="","",MIN(D189+E189,$Q$18))</x:f>
      </x:c>
      <x:c r="G189" s="88" t="str">
        <x:f>IF(C189="","",MIN(MAX(0,D189+E189-F189),SUMIFS(SONDERZAHLUNGEN!$E$9:$E$128,SONDERZAHLUNGEN!$B$9:$B$128,C189,SONDERZAHLUNGEN!$C$9:$C$128,A189,SONDERZAHLUNGEN!$H$9:$H$128,"OK",SONDERZAHLUNGEN!$F$9:$F$128,"Ja")))</x:f>
      </x:c>
      <x:c r="H189" s="88" t="str">
        <x:f>IF(C189="","",MIN(MAX(0,D189+E189-F189-G189),MAX(0,IF(MONATSBUDGET!$C$16="",0,MONATSBUDGET!$C$16)-SUM(F180:F199)-SUM(H180:H188))))</x:f>
      </x:c>
      <x:c r="I189" s="88" t="str">
        <x:f>IF(C189="","",MAX(0,ROUND(D189+E189-F189-G189-H189,2)))</x:f>
      </x:c>
      <x:c r="J189" s="88" t="str">
        <x:f>IF(C189="","",F189+G189+H189)</x:f>
      </x:c>
      <x:c r="K189" s="88" t="str">
        <x:f>IF(C189="","",MAX(0,SUMIFS(SONDERZAHLUNGEN!$E$9:$E$128,SONDERZAHLUNGEN!$B$9:$B$128,C189,SONDERZAHLUNGEN!$C$9:$C$128,A189,SONDERZAHLUNGEN!$H$9:$H$128,"OK",SONDERZAHLUNGEN!$F$9:$F$128,"Ja")-G189))</x:f>
      </x:c>
    </x:row>
    <x:row r="190" ht="19" customHeight="1">
      <x:c r="A190" s="90" t="n">
        <x:f>MONATSBUDGET!$A$16</x:f>
        <x:v>46478</x:v>
      </x:c>
      <x:c r="B190" t="n">
        <x:f>11</x:f>
        <x:v>11</x:v>
      </x:c>
      <x:c r="C190" t="str">
        <x:f>IF($N$19="","",$N$19)</x:f>
      </x:c>
      <x:c r="D190" s="88" t="str">
        <x:f>IF(C190="","",I170)</x:f>
      </x:c>
      <x:c r="E190" s="88" t="str">
        <x:f>IF(C190="","",ROUND(D190*$P$19/12,2))</x:f>
      </x:c>
      <x:c r="F190" s="88" t="str">
        <x:f>IF(C190="","",MIN(D190+E190,$Q$19))</x:f>
      </x:c>
      <x:c r="G190" s="88" t="str">
        <x:f>IF(C190="","",MIN(MAX(0,D190+E190-F190),SUMIFS(SONDERZAHLUNGEN!$E$9:$E$128,SONDERZAHLUNGEN!$B$9:$B$128,C190,SONDERZAHLUNGEN!$C$9:$C$128,A190,SONDERZAHLUNGEN!$H$9:$H$128,"OK",SONDERZAHLUNGEN!$F$9:$F$128,"Ja")))</x:f>
      </x:c>
      <x:c r="H190" s="88" t="str">
        <x:f>IF(C190="","",MIN(MAX(0,D190+E190-F190-G190),MAX(0,IF(MONATSBUDGET!$C$16="",0,MONATSBUDGET!$C$16)-SUM(F180:F199)-SUM(H180:H189))))</x:f>
      </x:c>
      <x:c r="I190" s="88" t="str">
        <x:f>IF(C190="","",MAX(0,ROUND(D190+E190-F190-G190-H190,2)))</x:f>
      </x:c>
      <x:c r="J190" s="88" t="str">
        <x:f>IF(C190="","",F190+G190+H190)</x:f>
      </x:c>
      <x:c r="K190" s="88" t="str">
        <x:f>IF(C190="","",MAX(0,SUMIFS(SONDERZAHLUNGEN!$E$9:$E$128,SONDERZAHLUNGEN!$B$9:$B$128,C190,SONDERZAHLUNGEN!$C$9:$C$128,A190,SONDERZAHLUNGEN!$H$9:$H$128,"OK",SONDERZAHLUNGEN!$F$9:$F$128,"Ja")-G190))</x:f>
      </x:c>
    </x:row>
    <x:row r="191" ht="19" customHeight="1">
      <x:c r="A191" s="90" t="n">
        <x:f>MONATSBUDGET!$A$16</x:f>
        <x:v>46478</x:v>
      </x:c>
      <x:c r="B191" t="n">
        <x:f>12</x:f>
        <x:v>12</x:v>
      </x:c>
      <x:c r="C191" t="str">
        <x:f>IF($N$20="","",$N$20)</x:f>
      </x:c>
      <x:c r="D191" s="88" t="str">
        <x:f>IF(C191="","",I171)</x:f>
      </x:c>
      <x:c r="E191" s="88" t="str">
        <x:f>IF(C191="","",ROUND(D191*$P$20/12,2))</x:f>
      </x:c>
      <x:c r="F191" s="88" t="str">
        <x:f>IF(C191="","",MIN(D191+E191,$Q$20))</x:f>
      </x:c>
      <x:c r="G191" s="88" t="str">
        <x:f>IF(C191="","",MIN(MAX(0,D191+E191-F191),SUMIFS(SONDERZAHLUNGEN!$E$9:$E$128,SONDERZAHLUNGEN!$B$9:$B$128,C191,SONDERZAHLUNGEN!$C$9:$C$128,A191,SONDERZAHLUNGEN!$H$9:$H$128,"OK",SONDERZAHLUNGEN!$F$9:$F$128,"Ja")))</x:f>
      </x:c>
      <x:c r="H191" s="88" t="str">
        <x:f>IF(C191="","",MIN(MAX(0,D191+E191-F191-G191),MAX(0,IF(MONATSBUDGET!$C$16="",0,MONATSBUDGET!$C$16)-SUM(F180:F199)-SUM(H180:H190))))</x:f>
      </x:c>
      <x:c r="I191" s="88" t="str">
        <x:f>IF(C191="","",MAX(0,ROUND(D191+E191-F191-G191-H191,2)))</x:f>
      </x:c>
      <x:c r="J191" s="88" t="str">
        <x:f>IF(C191="","",F191+G191+H191)</x:f>
      </x:c>
      <x:c r="K191" s="88" t="str">
        <x:f>IF(C191="","",MAX(0,SUMIFS(SONDERZAHLUNGEN!$E$9:$E$128,SONDERZAHLUNGEN!$B$9:$B$128,C191,SONDERZAHLUNGEN!$C$9:$C$128,A191,SONDERZAHLUNGEN!$H$9:$H$128,"OK",SONDERZAHLUNGEN!$F$9:$F$128,"Ja")-G191))</x:f>
      </x:c>
    </x:row>
    <x:row r="192" ht="19" customHeight="1">
      <x:c r="A192" s="90" t="n">
        <x:f>MONATSBUDGET!$A$16</x:f>
        <x:v>46478</x:v>
      </x:c>
      <x:c r="B192" t="n">
        <x:f>13</x:f>
        <x:v>13</x:v>
      </x:c>
      <x:c r="C192" t="str">
        <x:f>IF($N$21="","",$N$21)</x:f>
      </x:c>
      <x:c r="D192" s="88" t="str">
        <x:f>IF(C192="","",I172)</x:f>
      </x:c>
      <x:c r="E192" s="88" t="str">
        <x:f>IF(C192="","",ROUND(D192*$P$21/12,2))</x:f>
      </x:c>
      <x:c r="F192" s="88" t="str">
        <x:f>IF(C192="","",MIN(D192+E192,$Q$21))</x:f>
      </x:c>
      <x:c r="G192" s="88" t="str">
        <x:f>IF(C192="","",MIN(MAX(0,D192+E192-F192),SUMIFS(SONDERZAHLUNGEN!$E$9:$E$128,SONDERZAHLUNGEN!$B$9:$B$128,C192,SONDERZAHLUNGEN!$C$9:$C$128,A192,SONDERZAHLUNGEN!$H$9:$H$128,"OK",SONDERZAHLUNGEN!$F$9:$F$128,"Ja")))</x:f>
      </x:c>
      <x:c r="H192" s="88" t="str">
        <x:f>IF(C192="","",MIN(MAX(0,D192+E192-F192-G192),MAX(0,IF(MONATSBUDGET!$C$16="",0,MONATSBUDGET!$C$16)-SUM(F180:F199)-SUM(H180:H191))))</x:f>
      </x:c>
      <x:c r="I192" s="88" t="str">
        <x:f>IF(C192="","",MAX(0,ROUND(D192+E192-F192-G192-H192,2)))</x:f>
      </x:c>
      <x:c r="J192" s="88" t="str">
        <x:f>IF(C192="","",F192+G192+H192)</x:f>
      </x:c>
      <x:c r="K192" s="88" t="str">
        <x:f>IF(C192="","",MAX(0,SUMIFS(SONDERZAHLUNGEN!$E$9:$E$128,SONDERZAHLUNGEN!$B$9:$B$128,C192,SONDERZAHLUNGEN!$C$9:$C$128,A192,SONDERZAHLUNGEN!$H$9:$H$128,"OK",SONDERZAHLUNGEN!$F$9:$F$128,"Ja")-G192))</x:f>
      </x:c>
    </x:row>
    <x:row r="193" ht="19" customHeight="1">
      <x:c r="A193" s="90" t="n">
        <x:f>MONATSBUDGET!$A$16</x:f>
        <x:v>46478</x:v>
      </x:c>
      <x:c r="B193" t="n">
        <x:f>14</x:f>
        <x:v>14</x:v>
      </x:c>
      <x:c r="C193" t="str">
        <x:f>IF($N$22="","",$N$22)</x:f>
      </x:c>
      <x:c r="D193" s="88" t="str">
        <x:f>IF(C193="","",I173)</x:f>
      </x:c>
      <x:c r="E193" s="88" t="str">
        <x:f>IF(C193="","",ROUND(D193*$P$22/12,2))</x:f>
      </x:c>
      <x:c r="F193" s="88" t="str">
        <x:f>IF(C193="","",MIN(D193+E193,$Q$22))</x:f>
      </x:c>
      <x:c r="G193" s="88" t="str">
        <x:f>IF(C193="","",MIN(MAX(0,D193+E193-F193),SUMIFS(SONDERZAHLUNGEN!$E$9:$E$128,SONDERZAHLUNGEN!$B$9:$B$128,C193,SONDERZAHLUNGEN!$C$9:$C$128,A193,SONDERZAHLUNGEN!$H$9:$H$128,"OK",SONDERZAHLUNGEN!$F$9:$F$128,"Ja")))</x:f>
      </x:c>
      <x:c r="H193" s="88" t="str">
        <x:f>IF(C193="","",MIN(MAX(0,D193+E193-F193-G193),MAX(0,IF(MONATSBUDGET!$C$16="",0,MONATSBUDGET!$C$16)-SUM(F180:F199)-SUM(H180:H192))))</x:f>
      </x:c>
      <x:c r="I193" s="88" t="str">
        <x:f>IF(C193="","",MAX(0,ROUND(D193+E193-F193-G193-H193,2)))</x:f>
      </x:c>
      <x:c r="J193" s="88" t="str">
        <x:f>IF(C193="","",F193+G193+H193)</x:f>
      </x:c>
      <x:c r="K193" s="88" t="str">
        <x:f>IF(C193="","",MAX(0,SUMIFS(SONDERZAHLUNGEN!$E$9:$E$128,SONDERZAHLUNGEN!$B$9:$B$128,C193,SONDERZAHLUNGEN!$C$9:$C$128,A193,SONDERZAHLUNGEN!$H$9:$H$128,"OK",SONDERZAHLUNGEN!$F$9:$F$128,"Ja")-G193))</x:f>
      </x:c>
    </x:row>
    <x:row r="194" ht="19" customHeight="1">
      <x:c r="A194" s="90" t="n">
        <x:f>MONATSBUDGET!$A$16</x:f>
        <x:v>46478</x:v>
      </x:c>
      <x:c r="B194" t="n">
        <x:f>15</x:f>
        <x:v>15</x:v>
      </x:c>
      <x:c r="C194" t="str">
        <x:f>IF($N$23="","",$N$23)</x:f>
      </x:c>
      <x:c r="D194" s="88" t="str">
        <x:f>IF(C194="","",I174)</x:f>
      </x:c>
      <x:c r="E194" s="88" t="str">
        <x:f>IF(C194="","",ROUND(D194*$P$23/12,2))</x:f>
      </x:c>
      <x:c r="F194" s="88" t="str">
        <x:f>IF(C194="","",MIN(D194+E194,$Q$23))</x:f>
      </x:c>
      <x:c r="G194" s="88" t="str">
        <x:f>IF(C194="","",MIN(MAX(0,D194+E194-F194),SUMIFS(SONDERZAHLUNGEN!$E$9:$E$128,SONDERZAHLUNGEN!$B$9:$B$128,C194,SONDERZAHLUNGEN!$C$9:$C$128,A194,SONDERZAHLUNGEN!$H$9:$H$128,"OK",SONDERZAHLUNGEN!$F$9:$F$128,"Ja")))</x:f>
      </x:c>
      <x:c r="H194" s="88" t="str">
        <x:f>IF(C194="","",MIN(MAX(0,D194+E194-F194-G194),MAX(0,IF(MONATSBUDGET!$C$16="",0,MONATSBUDGET!$C$16)-SUM(F180:F199)-SUM(H180:H193))))</x:f>
      </x:c>
      <x:c r="I194" s="88" t="str">
        <x:f>IF(C194="","",MAX(0,ROUND(D194+E194-F194-G194-H194,2)))</x:f>
      </x:c>
      <x:c r="J194" s="88" t="str">
        <x:f>IF(C194="","",F194+G194+H194)</x:f>
      </x:c>
      <x:c r="K194" s="88" t="str">
        <x:f>IF(C194="","",MAX(0,SUMIFS(SONDERZAHLUNGEN!$E$9:$E$128,SONDERZAHLUNGEN!$B$9:$B$128,C194,SONDERZAHLUNGEN!$C$9:$C$128,A194,SONDERZAHLUNGEN!$H$9:$H$128,"OK",SONDERZAHLUNGEN!$F$9:$F$128,"Ja")-G194))</x:f>
      </x:c>
    </x:row>
    <x:row r="195" ht="19" customHeight="1">
      <x:c r="A195" s="90" t="n">
        <x:f>MONATSBUDGET!$A$16</x:f>
        <x:v>46478</x:v>
      </x:c>
      <x:c r="B195" t="n">
        <x:f>16</x:f>
        <x:v>16</x:v>
      </x:c>
      <x:c r="C195" t="str">
        <x:f>IF($N$24="","",$N$24)</x:f>
      </x:c>
      <x:c r="D195" s="88" t="str">
        <x:f>IF(C195="","",I175)</x:f>
      </x:c>
      <x:c r="E195" s="88" t="str">
        <x:f>IF(C195="","",ROUND(D195*$P$24/12,2))</x:f>
      </x:c>
      <x:c r="F195" s="88" t="str">
        <x:f>IF(C195="","",MIN(D195+E195,$Q$24))</x:f>
      </x:c>
      <x:c r="G195" s="88" t="str">
        <x:f>IF(C195="","",MIN(MAX(0,D195+E195-F195),SUMIFS(SONDERZAHLUNGEN!$E$9:$E$128,SONDERZAHLUNGEN!$B$9:$B$128,C195,SONDERZAHLUNGEN!$C$9:$C$128,A195,SONDERZAHLUNGEN!$H$9:$H$128,"OK",SONDERZAHLUNGEN!$F$9:$F$128,"Ja")))</x:f>
      </x:c>
      <x:c r="H195" s="88" t="str">
        <x:f>IF(C195="","",MIN(MAX(0,D195+E195-F195-G195),MAX(0,IF(MONATSBUDGET!$C$16="",0,MONATSBUDGET!$C$16)-SUM(F180:F199)-SUM(H180:H194))))</x:f>
      </x:c>
      <x:c r="I195" s="88" t="str">
        <x:f>IF(C195="","",MAX(0,ROUND(D195+E195-F195-G195-H195,2)))</x:f>
      </x:c>
      <x:c r="J195" s="88" t="str">
        <x:f>IF(C195="","",F195+G195+H195)</x:f>
      </x:c>
      <x:c r="K195" s="88" t="str">
        <x:f>IF(C195="","",MAX(0,SUMIFS(SONDERZAHLUNGEN!$E$9:$E$128,SONDERZAHLUNGEN!$B$9:$B$128,C195,SONDERZAHLUNGEN!$C$9:$C$128,A195,SONDERZAHLUNGEN!$H$9:$H$128,"OK",SONDERZAHLUNGEN!$F$9:$F$128,"Ja")-G195))</x:f>
      </x:c>
    </x:row>
    <x:row r="196" ht="19" customHeight="1">
      <x:c r="A196" s="90" t="n">
        <x:f>MONATSBUDGET!$A$16</x:f>
        <x:v>46478</x:v>
      </x:c>
      <x:c r="B196" t="n">
        <x:f>17</x:f>
        <x:v>17</x:v>
      </x:c>
      <x:c r="C196" t="str">
        <x:f>IF($N$25="","",$N$25)</x:f>
      </x:c>
      <x:c r="D196" s="88" t="str">
        <x:f>IF(C196="","",I176)</x:f>
      </x:c>
      <x:c r="E196" s="88" t="str">
        <x:f>IF(C196="","",ROUND(D196*$P$25/12,2))</x:f>
      </x:c>
      <x:c r="F196" s="88" t="str">
        <x:f>IF(C196="","",MIN(D196+E196,$Q$25))</x:f>
      </x:c>
      <x:c r="G196" s="88" t="str">
        <x:f>IF(C196="","",MIN(MAX(0,D196+E196-F196),SUMIFS(SONDERZAHLUNGEN!$E$9:$E$128,SONDERZAHLUNGEN!$B$9:$B$128,C196,SONDERZAHLUNGEN!$C$9:$C$128,A196,SONDERZAHLUNGEN!$H$9:$H$128,"OK",SONDERZAHLUNGEN!$F$9:$F$128,"Ja")))</x:f>
      </x:c>
      <x:c r="H196" s="88" t="str">
        <x:f>IF(C196="","",MIN(MAX(0,D196+E196-F196-G196),MAX(0,IF(MONATSBUDGET!$C$16="",0,MONATSBUDGET!$C$16)-SUM(F180:F199)-SUM(H180:H195))))</x:f>
      </x:c>
      <x:c r="I196" s="88" t="str">
        <x:f>IF(C196="","",MAX(0,ROUND(D196+E196-F196-G196-H196,2)))</x:f>
      </x:c>
      <x:c r="J196" s="88" t="str">
        <x:f>IF(C196="","",F196+G196+H196)</x:f>
      </x:c>
      <x:c r="K196" s="88" t="str">
        <x:f>IF(C196="","",MAX(0,SUMIFS(SONDERZAHLUNGEN!$E$9:$E$128,SONDERZAHLUNGEN!$B$9:$B$128,C196,SONDERZAHLUNGEN!$C$9:$C$128,A196,SONDERZAHLUNGEN!$H$9:$H$128,"OK",SONDERZAHLUNGEN!$F$9:$F$128,"Ja")-G196))</x:f>
      </x:c>
    </x:row>
    <x:row r="197" ht="19" customHeight="1">
      <x:c r="A197" s="90" t="n">
        <x:f>MONATSBUDGET!$A$16</x:f>
        <x:v>46478</x:v>
      </x:c>
      <x:c r="B197" t="n">
        <x:f>18</x:f>
        <x:v>18</x:v>
      </x:c>
      <x:c r="C197" t="str">
        <x:f>IF($N$26="","",$N$26)</x:f>
      </x:c>
      <x:c r="D197" s="88" t="str">
        <x:f>IF(C197="","",I177)</x:f>
      </x:c>
      <x:c r="E197" s="88" t="str">
        <x:f>IF(C197="","",ROUND(D197*$P$26/12,2))</x:f>
      </x:c>
      <x:c r="F197" s="88" t="str">
        <x:f>IF(C197="","",MIN(D197+E197,$Q$26))</x:f>
      </x:c>
      <x:c r="G197" s="88" t="str">
        <x:f>IF(C197="","",MIN(MAX(0,D197+E197-F197),SUMIFS(SONDERZAHLUNGEN!$E$9:$E$128,SONDERZAHLUNGEN!$B$9:$B$128,C197,SONDERZAHLUNGEN!$C$9:$C$128,A197,SONDERZAHLUNGEN!$H$9:$H$128,"OK",SONDERZAHLUNGEN!$F$9:$F$128,"Ja")))</x:f>
      </x:c>
      <x:c r="H197" s="88" t="str">
        <x:f>IF(C197="","",MIN(MAX(0,D197+E197-F197-G197),MAX(0,IF(MONATSBUDGET!$C$16="",0,MONATSBUDGET!$C$16)-SUM(F180:F199)-SUM(H180:H196))))</x:f>
      </x:c>
      <x:c r="I197" s="88" t="str">
        <x:f>IF(C197="","",MAX(0,ROUND(D197+E197-F197-G197-H197,2)))</x:f>
      </x:c>
      <x:c r="J197" s="88" t="str">
        <x:f>IF(C197="","",F197+G197+H197)</x:f>
      </x:c>
      <x:c r="K197" s="88" t="str">
        <x:f>IF(C197="","",MAX(0,SUMIFS(SONDERZAHLUNGEN!$E$9:$E$128,SONDERZAHLUNGEN!$B$9:$B$128,C197,SONDERZAHLUNGEN!$C$9:$C$128,A197,SONDERZAHLUNGEN!$H$9:$H$128,"OK",SONDERZAHLUNGEN!$F$9:$F$128,"Ja")-G197))</x:f>
      </x:c>
    </x:row>
    <x:row r="198" ht="19" customHeight="1">
      <x:c r="A198" s="90" t="n">
        <x:f>MONATSBUDGET!$A$16</x:f>
        <x:v>46478</x:v>
      </x:c>
      <x:c r="B198" t="n">
        <x:f>19</x:f>
        <x:v>19</x:v>
      </x:c>
      <x:c r="C198" t="str">
        <x:f>IF($N$27="","",$N$27)</x:f>
      </x:c>
      <x:c r="D198" s="88" t="str">
        <x:f>IF(C198="","",I178)</x:f>
      </x:c>
      <x:c r="E198" s="88" t="str">
        <x:f>IF(C198="","",ROUND(D198*$P$27/12,2))</x:f>
      </x:c>
      <x:c r="F198" s="88" t="str">
        <x:f>IF(C198="","",MIN(D198+E198,$Q$27))</x:f>
      </x:c>
      <x:c r="G198" s="88" t="str">
        <x:f>IF(C198="","",MIN(MAX(0,D198+E198-F198),SUMIFS(SONDERZAHLUNGEN!$E$9:$E$128,SONDERZAHLUNGEN!$B$9:$B$128,C198,SONDERZAHLUNGEN!$C$9:$C$128,A198,SONDERZAHLUNGEN!$H$9:$H$128,"OK",SONDERZAHLUNGEN!$F$9:$F$128,"Ja")))</x:f>
      </x:c>
      <x:c r="H198" s="88" t="str">
        <x:f>IF(C198="","",MIN(MAX(0,D198+E198-F198-G198),MAX(0,IF(MONATSBUDGET!$C$16="",0,MONATSBUDGET!$C$16)-SUM(F180:F199)-SUM(H180:H197))))</x:f>
      </x:c>
      <x:c r="I198" s="88" t="str">
        <x:f>IF(C198="","",MAX(0,ROUND(D198+E198-F198-G198-H198,2)))</x:f>
      </x:c>
      <x:c r="J198" s="88" t="str">
        <x:f>IF(C198="","",F198+G198+H198)</x:f>
      </x:c>
      <x:c r="K198" s="88" t="str">
        <x:f>IF(C198="","",MAX(0,SUMIFS(SONDERZAHLUNGEN!$E$9:$E$128,SONDERZAHLUNGEN!$B$9:$B$128,C198,SONDERZAHLUNGEN!$C$9:$C$128,A198,SONDERZAHLUNGEN!$H$9:$H$128,"OK",SONDERZAHLUNGEN!$F$9:$F$128,"Ja")-G198))</x:f>
      </x:c>
    </x:row>
    <x:row r="199" ht="19" customHeight="1">
      <x:c r="A199" s="90" t="n">
        <x:f>MONATSBUDGET!$A$16</x:f>
        <x:v>46478</x:v>
      </x:c>
      <x:c r="B199" t="n">
        <x:f>20</x:f>
        <x:v>20</x:v>
      </x:c>
      <x:c r="C199" t="str">
        <x:f>IF($N$28="","",$N$28)</x:f>
      </x:c>
      <x:c r="D199" s="88" t="str">
        <x:f>IF(C199="","",I179)</x:f>
      </x:c>
      <x:c r="E199" s="88" t="str">
        <x:f>IF(C199="","",ROUND(D199*$P$28/12,2))</x:f>
      </x:c>
      <x:c r="F199" s="88" t="str">
        <x:f>IF(C199="","",MIN(D199+E199,$Q$28))</x:f>
      </x:c>
      <x:c r="G199" s="88" t="str">
        <x:f>IF(C199="","",MIN(MAX(0,D199+E199-F199),SUMIFS(SONDERZAHLUNGEN!$E$9:$E$128,SONDERZAHLUNGEN!$B$9:$B$128,C199,SONDERZAHLUNGEN!$C$9:$C$128,A199,SONDERZAHLUNGEN!$H$9:$H$128,"OK",SONDERZAHLUNGEN!$F$9:$F$128,"Ja")))</x:f>
      </x:c>
      <x:c r="H199" s="88" t="str">
        <x:f>IF(C199="","",MIN(MAX(0,D199+E199-F199-G199),MAX(0,IF(MONATSBUDGET!$C$16="",0,MONATSBUDGET!$C$16)-SUM(F180:F199)-SUM(H180:H198))))</x:f>
      </x:c>
      <x:c r="I199" s="88" t="str">
        <x:f>IF(C199="","",MAX(0,ROUND(D199+E199-F199-G199-H199,2)))</x:f>
      </x:c>
      <x:c r="J199" s="88" t="str">
        <x:f>IF(C199="","",F199+G199+H199)</x:f>
      </x:c>
      <x:c r="K199" s="88" t="str">
        <x:f>IF(C199="","",MAX(0,SUMIFS(SONDERZAHLUNGEN!$E$9:$E$128,SONDERZAHLUNGEN!$B$9:$B$128,C199,SONDERZAHLUNGEN!$C$9:$C$128,A199,SONDERZAHLUNGEN!$H$9:$H$128,"OK",SONDERZAHLUNGEN!$F$9:$F$128,"Ja")-G199))</x:f>
      </x:c>
    </x:row>
    <x:row r="200" ht="19" customHeight="1">
      <x:c r="A200" s="90" t="n">
        <x:f>MONATSBUDGET!$A$17</x:f>
        <x:v>46508</x:v>
      </x:c>
      <x:c r="B200" t="n">
        <x:f>1</x:f>
        <x:v>1</x:v>
      </x:c>
      <x:c r="C200" t="str">
        <x:f>IF($N$9="","",$N$9)</x:f>
      </x:c>
      <x:c r="D200" s="88" t="str">
        <x:f>IF(C200="","",I180)</x:f>
      </x:c>
      <x:c r="E200" s="88" t="str">
        <x:f>IF(C200="","",ROUND(D200*$P$9/12,2))</x:f>
      </x:c>
      <x:c r="F200" s="88" t="str">
        <x:f>IF(C200="","",MIN(D200+E200,$Q$9))</x:f>
      </x:c>
      <x:c r="G200" s="88" t="str">
        <x:f>IF(C200="","",MIN(MAX(0,D200+E200-F200),SUMIFS(SONDERZAHLUNGEN!$E$9:$E$128,SONDERZAHLUNGEN!$B$9:$B$128,C200,SONDERZAHLUNGEN!$C$9:$C$128,A200,SONDERZAHLUNGEN!$H$9:$H$128,"OK",SONDERZAHLUNGEN!$F$9:$F$128,"Ja")))</x:f>
      </x:c>
      <x:c r="H200" s="88" t="str">
        <x:f>IF(C200="","",MIN(MAX(0,D200+E200-F200-G200),MAX(0,IF(MONATSBUDGET!$C$17="",0,MONATSBUDGET!$C$17)-SUM(F200:F219)-0)))</x:f>
      </x:c>
      <x:c r="I200" s="88" t="str">
        <x:f>IF(C200="","",MAX(0,ROUND(D200+E200-F200-G200-H200,2)))</x:f>
      </x:c>
      <x:c r="J200" s="88" t="str">
        <x:f>IF(C200="","",F200+G200+H200)</x:f>
      </x:c>
      <x:c r="K200" s="88" t="str">
        <x:f>IF(C200="","",MAX(0,SUMIFS(SONDERZAHLUNGEN!$E$9:$E$128,SONDERZAHLUNGEN!$B$9:$B$128,C200,SONDERZAHLUNGEN!$C$9:$C$128,A200,SONDERZAHLUNGEN!$H$9:$H$128,"OK",SONDERZAHLUNGEN!$F$9:$F$128,"Ja")-G200))</x:f>
      </x:c>
    </x:row>
    <x:row r="201" ht="19" customHeight="1">
      <x:c r="A201" s="90" t="n">
        <x:f>MONATSBUDGET!$A$17</x:f>
        <x:v>46508</x:v>
      </x:c>
      <x:c r="B201" t="n">
        <x:f>2</x:f>
        <x:v>2</x:v>
      </x:c>
      <x:c r="C201" t="str">
        <x:f>IF($N$10="","",$N$10)</x:f>
      </x:c>
      <x:c r="D201" s="88" t="str">
        <x:f>IF(C201="","",I181)</x:f>
      </x:c>
      <x:c r="E201" s="88" t="str">
        <x:f>IF(C201="","",ROUND(D201*$P$10/12,2))</x:f>
      </x:c>
      <x:c r="F201" s="88" t="str">
        <x:f>IF(C201="","",MIN(D201+E201,$Q$10))</x:f>
      </x:c>
      <x:c r="G201" s="88" t="str">
        <x:f>IF(C201="","",MIN(MAX(0,D201+E201-F201),SUMIFS(SONDERZAHLUNGEN!$E$9:$E$128,SONDERZAHLUNGEN!$B$9:$B$128,C201,SONDERZAHLUNGEN!$C$9:$C$128,A201,SONDERZAHLUNGEN!$H$9:$H$128,"OK",SONDERZAHLUNGEN!$F$9:$F$128,"Ja")))</x:f>
      </x:c>
      <x:c r="H201" s="88" t="str">
        <x:f>IF(C201="","",MIN(MAX(0,D201+E201-F201-G201),MAX(0,IF(MONATSBUDGET!$C$17="",0,MONATSBUDGET!$C$17)-SUM(F200:F219)-SUM(H200:H200))))</x:f>
      </x:c>
      <x:c r="I201" s="88" t="str">
        <x:f>IF(C201="","",MAX(0,ROUND(D201+E201-F201-G201-H201,2)))</x:f>
      </x:c>
      <x:c r="J201" s="88" t="str">
        <x:f>IF(C201="","",F201+G201+H201)</x:f>
      </x:c>
      <x:c r="K201" s="88" t="str">
        <x:f>IF(C201="","",MAX(0,SUMIFS(SONDERZAHLUNGEN!$E$9:$E$128,SONDERZAHLUNGEN!$B$9:$B$128,C201,SONDERZAHLUNGEN!$C$9:$C$128,A201,SONDERZAHLUNGEN!$H$9:$H$128,"OK",SONDERZAHLUNGEN!$F$9:$F$128,"Ja")-G201))</x:f>
      </x:c>
    </x:row>
    <x:row r="202" ht="19" customHeight="1">
      <x:c r="A202" s="90" t="n">
        <x:f>MONATSBUDGET!$A$17</x:f>
        <x:v>46508</x:v>
      </x:c>
      <x:c r="B202" t="n">
        <x:f>3</x:f>
        <x:v>3</x:v>
      </x:c>
      <x:c r="C202" t="str">
        <x:f>IF($N$11="","",$N$11)</x:f>
      </x:c>
      <x:c r="D202" s="88" t="str">
        <x:f>IF(C202="","",I182)</x:f>
      </x:c>
      <x:c r="E202" s="88" t="str">
        <x:f>IF(C202="","",ROUND(D202*$P$11/12,2))</x:f>
      </x:c>
      <x:c r="F202" s="88" t="str">
        <x:f>IF(C202="","",MIN(D202+E202,$Q$11))</x:f>
      </x:c>
      <x:c r="G202" s="88" t="str">
        <x:f>IF(C202="","",MIN(MAX(0,D202+E202-F202),SUMIFS(SONDERZAHLUNGEN!$E$9:$E$128,SONDERZAHLUNGEN!$B$9:$B$128,C202,SONDERZAHLUNGEN!$C$9:$C$128,A202,SONDERZAHLUNGEN!$H$9:$H$128,"OK",SONDERZAHLUNGEN!$F$9:$F$128,"Ja")))</x:f>
      </x:c>
      <x:c r="H202" s="88" t="str">
        <x:f>IF(C202="","",MIN(MAX(0,D202+E202-F202-G202),MAX(0,IF(MONATSBUDGET!$C$17="",0,MONATSBUDGET!$C$17)-SUM(F200:F219)-SUM(H200:H201))))</x:f>
      </x:c>
      <x:c r="I202" s="88" t="str">
        <x:f>IF(C202="","",MAX(0,ROUND(D202+E202-F202-G202-H202,2)))</x:f>
      </x:c>
      <x:c r="J202" s="88" t="str">
        <x:f>IF(C202="","",F202+G202+H202)</x:f>
      </x:c>
      <x:c r="K202" s="88" t="str">
        <x:f>IF(C202="","",MAX(0,SUMIFS(SONDERZAHLUNGEN!$E$9:$E$128,SONDERZAHLUNGEN!$B$9:$B$128,C202,SONDERZAHLUNGEN!$C$9:$C$128,A202,SONDERZAHLUNGEN!$H$9:$H$128,"OK",SONDERZAHLUNGEN!$F$9:$F$128,"Ja")-G202))</x:f>
      </x:c>
    </x:row>
    <x:row r="203" ht="19" customHeight="1">
      <x:c r="A203" s="90" t="n">
        <x:f>MONATSBUDGET!$A$17</x:f>
        <x:v>46508</x:v>
      </x:c>
      <x:c r="B203" t="n">
        <x:f>4</x:f>
        <x:v>4</x:v>
      </x:c>
      <x:c r="C203" t="str">
        <x:f>IF($N$12="","",$N$12)</x:f>
      </x:c>
      <x:c r="D203" s="88" t="str">
        <x:f>IF(C203="","",I183)</x:f>
      </x:c>
      <x:c r="E203" s="88" t="str">
        <x:f>IF(C203="","",ROUND(D203*$P$12/12,2))</x:f>
      </x:c>
      <x:c r="F203" s="88" t="str">
        <x:f>IF(C203="","",MIN(D203+E203,$Q$12))</x:f>
      </x:c>
      <x:c r="G203" s="88" t="str">
        <x:f>IF(C203="","",MIN(MAX(0,D203+E203-F203),SUMIFS(SONDERZAHLUNGEN!$E$9:$E$128,SONDERZAHLUNGEN!$B$9:$B$128,C203,SONDERZAHLUNGEN!$C$9:$C$128,A203,SONDERZAHLUNGEN!$H$9:$H$128,"OK",SONDERZAHLUNGEN!$F$9:$F$128,"Ja")))</x:f>
      </x:c>
      <x:c r="H203" s="88" t="str">
        <x:f>IF(C203="","",MIN(MAX(0,D203+E203-F203-G203),MAX(0,IF(MONATSBUDGET!$C$17="",0,MONATSBUDGET!$C$17)-SUM(F200:F219)-SUM(H200:H202))))</x:f>
      </x:c>
      <x:c r="I203" s="88" t="str">
        <x:f>IF(C203="","",MAX(0,ROUND(D203+E203-F203-G203-H203,2)))</x:f>
      </x:c>
      <x:c r="J203" s="88" t="str">
        <x:f>IF(C203="","",F203+G203+H203)</x:f>
      </x:c>
      <x:c r="K203" s="88" t="str">
        <x:f>IF(C203="","",MAX(0,SUMIFS(SONDERZAHLUNGEN!$E$9:$E$128,SONDERZAHLUNGEN!$B$9:$B$128,C203,SONDERZAHLUNGEN!$C$9:$C$128,A203,SONDERZAHLUNGEN!$H$9:$H$128,"OK",SONDERZAHLUNGEN!$F$9:$F$128,"Ja")-G203))</x:f>
      </x:c>
    </x:row>
    <x:row r="204" ht="19" customHeight="1">
      <x:c r="A204" s="90" t="n">
        <x:f>MONATSBUDGET!$A$17</x:f>
        <x:v>46508</x:v>
      </x:c>
      <x:c r="B204" t="n">
        <x:f>5</x:f>
        <x:v>5</x:v>
      </x:c>
      <x:c r="C204" t="str">
        <x:f>IF($N$13="","",$N$13)</x:f>
      </x:c>
      <x:c r="D204" s="88" t="str">
        <x:f>IF(C204="","",I184)</x:f>
      </x:c>
      <x:c r="E204" s="88" t="str">
        <x:f>IF(C204="","",ROUND(D204*$P$13/12,2))</x:f>
      </x:c>
      <x:c r="F204" s="88" t="str">
        <x:f>IF(C204="","",MIN(D204+E204,$Q$13))</x:f>
      </x:c>
      <x:c r="G204" s="88" t="str">
        <x:f>IF(C204="","",MIN(MAX(0,D204+E204-F204),SUMIFS(SONDERZAHLUNGEN!$E$9:$E$128,SONDERZAHLUNGEN!$B$9:$B$128,C204,SONDERZAHLUNGEN!$C$9:$C$128,A204,SONDERZAHLUNGEN!$H$9:$H$128,"OK",SONDERZAHLUNGEN!$F$9:$F$128,"Ja")))</x:f>
      </x:c>
      <x:c r="H204" s="88" t="str">
        <x:f>IF(C204="","",MIN(MAX(0,D204+E204-F204-G204),MAX(0,IF(MONATSBUDGET!$C$17="",0,MONATSBUDGET!$C$17)-SUM(F200:F219)-SUM(H200:H203))))</x:f>
      </x:c>
      <x:c r="I204" s="88" t="str">
        <x:f>IF(C204="","",MAX(0,ROUND(D204+E204-F204-G204-H204,2)))</x:f>
      </x:c>
      <x:c r="J204" s="88" t="str">
        <x:f>IF(C204="","",F204+G204+H204)</x:f>
      </x:c>
      <x:c r="K204" s="88" t="str">
        <x:f>IF(C204="","",MAX(0,SUMIFS(SONDERZAHLUNGEN!$E$9:$E$128,SONDERZAHLUNGEN!$B$9:$B$128,C204,SONDERZAHLUNGEN!$C$9:$C$128,A204,SONDERZAHLUNGEN!$H$9:$H$128,"OK",SONDERZAHLUNGEN!$F$9:$F$128,"Ja")-G204))</x:f>
      </x:c>
    </x:row>
    <x:row r="205" ht="19" customHeight="1">
      <x:c r="A205" s="90" t="n">
        <x:f>MONATSBUDGET!$A$17</x:f>
        <x:v>46508</x:v>
      </x:c>
      <x:c r="B205" t="n">
        <x:f>6</x:f>
        <x:v>6</x:v>
      </x:c>
      <x:c r="C205" t="str">
        <x:f>IF($N$14="","",$N$14)</x:f>
      </x:c>
      <x:c r="D205" s="88" t="str">
        <x:f>IF(C205="","",I185)</x:f>
      </x:c>
      <x:c r="E205" s="88" t="str">
        <x:f>IF(C205="","",ROUND(D205*$P$14/12,2))</x:f>
      </x:c>
      <x:c r="F205" s="88" t="str">
        <x:f>IF(C205="","",MIN(D205+E205,$Q$14))</x:f>
      </x:c>
      <x:c r="G205" s="88" t="str">
        <x:f>IF(C205="","",MIN(MAX(0,D205+E205-F205),SUMIFS(SONDERZAHLUNGEN!$E$9:$E$128,SONDERZAHLUNGEN!$B$9:$B$128,C205,SONDERZAHLUNGEN!$C$9:$C$128,A205,SONDERZAHLUNGEN!$H$9:$H$128,"OK",SONDERZAHLUNGEN!$F$9:$F$128,"Ja")))</x:f>
      </x:c>
      <x:c r="H205" s="88" t="str">
        <x:f>IF(C205="","",MIN(MAX(0,D205+E205-F205-G205),MAX(0,IF(MONATSBUDGET!$C$17="",0,MONATSBUDGET!$C$17)-SUM(F200:F219)-SUM(H200:H204))))</x:f>
      </x:c>
      <x:c r="I205" s="88" t="str">
        <x:f>IF(C205="","",MAX(0,ROUND(D205+E205-F205-G205-H205,2)))</x:f>
      </x:c>
      <x:c r="J205" s="88" t="str">
        <x:f>IF(C205="","",F205+G205+H205)</x:f>
      </x:c>
      <x:c r="K205" s="88" t="str">
        <x:f>IF(C205="","",MAX(0,SUMIFS(SONDERZAHLUNGEN!$E$9:$E$128,SONDERZAHLUNGEN!$B$9:$B$128,C205,SONDERZAHLUNGEN!$C$9:$C$128,A205,SONDERZAHLUNGEN!$H$9:$H$128,"OK",SONDERZAHLUNGEN!$F$9:$F$128,"Ja")-G205))</x:f>
      </x:c>
    </x:row>
    <x:row r="206" ht="19" customHeight="1">
      <x:c r="A206" s="90" t="n">
        <x:f>MONATSBUDGET!$A$17</x:f>
        <x:v>46508</x:v>
      </x:c>
      <x:c r="B206" t="n">
        <x:f>7</x:f>
        <x:v>7</x:v>
      </x:c>
      <x:c r="C206" t="str">
        <x:f>IF($N$15="","",$N$15)</x:f>
      </x:c>
      <x:c r="D206" s="88" t="str">
        <x:f>IF(C206="","",I186)</x:f>
      </x:c>
      <x:c r="E206" s="88" t="str">
        <x:f>IF(C206="","",ROUND(D206*$P$15/12,2))</x:f>
      </x:c>
      <x:c r="F206" s="88" t="str">
        <x:f>IF(C206="","",MIN(D206+E206,$Q$15))</x:f>
      </x:c>
      <x:c r="G206" s="88" t="str">
        <x:f>IF(C206="","",MIN(MAX(0,D206+E206-F206),SUMIFS(SONDERZAHLUNGEN!$E$9:$E$128,SONDERZAHLUNGEN!$B$9:$B$128,C206,SONDERZAHLUNGEN!$C$9:$C$128,A206,SONDERZAHLUNGEN!$H$9:$H$128,"OK",SONDERZAHLUNGEN!$F$9:$F$128,"Ja")))</x:f>
      </x:c>
      <x:c r="H206" s="88" t="str">
        <x:f>IF(C206="","",MIN(MAX(0,D206+E206-F206-G206),MAX(0,IF(MONATSBUDGET!$C$17="",0,MONATSBUDGET!$C$17)-SUM(F200:F219)-SUM(H200:H205))))</x:f>
      </x:c>
      <x:c r="I206" s="88" t="str">
        <x:f>IF(C206="","",MAX(0,ROUND(D206+E206-F206-G206-H206,2)))</x:f>
      </x:c>
      <x:c r="J206" s="88" t="str">
        <x:f>IF(C206="","",F206+G206+H206)</x:f>
      </x:c>
      <x:c r="K206" s="88" t="str">
        <x:f>IF(C206="","",MAX(0,SUMIFS(SONDERZAHLUNGEN!$E$9:$E$128,SONDERZAHLUNGEN!$B$9:$B$128,C206,SONDERZAHLUNGEN!$C$9:$C$128,A206,SONDERZAHLUNGEN!$H$9:$H$128,"OK",SONDERZAHLUNGEN!$F$9:$F$128,"Ja")-G206))</x:f>
      </x:c>
    </x:row>
    <x:row r="207" ht="19" customHeight="1">
      <x:c r="A207" s="90" t="n">
        <x:f>MONATSBUDGET!$A$17</x:f>
        <x:v>46508</x:v>
      </x:c>
      <x:c r="B207" t="n">
        <x:f>8</x:f>
        <x:v>8</x:v>
      </x:c>
      <x:c r="C207" t="str">
        <x:f>IF($N$16="","",$N$16)</x:f>
      </x:c>
      <x:c r="D207" s="88" t="str">
        <x:f>IF(C207="","",I187)</x:f>
      </x:c>
      <x:c r="E207" s="88" t="str">
        <x:f>IF(C207="","",ROUND(D207*$P$16/12,2))</x:f>
      </x:c>
      <x:c r="F207" s="88" t="str">
        <x:f>IF(C207="","",MIN(D207+E207,$Q$16))</x:f>
      </x:c>
      <x:c r="G207" s="88" t="str">
        <x:f>IF(C207="","",MIN(MAX(0,D207+E207-F207),SUMIFS(SONDERZAHLUNGEN!$E$9:$E$128,SONDERZAHLUNGEN!$B$9:$B$128,C207,SONDERZAHLUNGEN!$C$9:$C$128,A207,SONDERZAHLUNGEN!$H$9:$H$128,"OK",SONDERZAHLUNGEN!$F$9:$F$128,"Ja")))</x:f>
      </x:c>
      <x:c r="H207" s="88" t="str">
        <x:f>IF(C207="","",MIN(MAX(0,D207+E207-F207-G207),MAX(0,IF(MONATSBUDGET!$C$17="",0,MONATSBUDGET!$C$17)-SUM(F200:F219)-SUM(H200:H206))))</x:f>
      </x:c>
      <x:c r="I207" s="88" t="str">
        <x:f>IF(C207="","",MAX(0,ROUND(D207+E207-F207-G207-H207,2)))</x:f>
      </x:c>
      <x:c r="J207" s="88" t="str">
        <x:f>IF(C207="","",F207+G207+H207)</x:f>
      </x:c>
      <x:c r="K207" s="88" t="str">
        <x:f>IF(C207="","",MAX(0,SUMIFS(SONDERZAHLUNGEN!$E$9:$E$128,SONDERZAHLUNGEN!$B$9:$B$128,C207,SONDERZAHLUNGEN!$C$9:$C$128,A207,SONDERZAHLUNGEN!$H$9:$H$128,"OK",SONDERZAHLUNGEN!$F$9:$F$128,"Ja")-G207))</x:f>
      </x:c>
    </x:row>
    <x:row r="208" ht="19" customHeight="1">
      <x:c r="A208" s="90" t="n">
        <x:f>MONATSBUDGET!$A$17</x:f>
        <x:v>46508</x:v>
      </x:c>
      <x:c r="B208" t="n">
        <x:f>9</x:f>
        <x:v>9</x:v>
      </x:c>
      <x:c r="C208" t="str">
        <x:f>IF($N$17="","",$N$17)</x:f>
      </x:c>
      <x:c r="D208" s="88" t="str">
        <x:f>IF(C208="","",I188)</x:f>
      </x:c>
      <x:c r="E208" s="88" t="str">
        <x:f>IF(C208="","",ROUND(D208*$P$17/12,2))</x:f>
      </x:c>
      <x:c r="F208" s="88" t="str">
        <x:f>IF(C208="","",MIN(D208+E208,$Q$17))</x:f>
      </x:c>
      <x:c r="G208" s="88" t="str">
        <x:f>IF(C208="","",MIN(MAX(0,D208+E208-F208),SUMIFS(SONDERZAHLUNGEN!$E$9:$E$128,SONDERZAHLUNGEN!$B$9:$B$128,C208,SONDERZAHLUNGEN!$C$9:$C$128,A208,SONDERZAHLUNGEN!$H$9:$H$128,"OK",SONDERZAHLUNGEN!$F$9:$F$128,"Ja")))</x:f>
      </x:c>
      <x:c r="H208" s="88" t="str">
        <x:f>IF(C208="","",MIN(MAX(0,D208+E208-F208-G208),MAX(0,IF(MONATSBUDGET!$C$17="",0,MONATSBUDGET!$C$17)-SUM(F200:F219)-SUM(H200:H207))))</x:f>
      </x:c>
      <x:c r="I208" s="88" t="str">
        <x:f>IF(C208="","",MAX(0,ROUND(D208+E208-F208-G208-H208,2)))</x:f>
      </x:c>
      <x:c r="J208" s="88" t="str">
        <x:f>IF(C208="","",F208+G208+H208)</x:f>
      </x:c>
      <x:c r="K208" s="88" t="str">
        <x:f>IF(C208="","",MAX(0,SUMIFS(SONDERZAHLUNGEN!$E$9:$E$128,SONDERZAHLUNGEN!$B$9:$B$128,C208,SONDERZAHLUNGEN!$C$9:$C$128,A208,SONDERZAHLUNGEN!$H$9:$H$128,"OK",SONDERZAHLUNGEN!$F$9:$F$128,"Ja")-G208))</x:f>
      </x:c>
    </x:row>
    <x:row r="209" ht="19" customHeight="1">
      <x:c r="A209" s="90" t="n">
        <x:f>MONATSBUDGET!$A$17</x:f>
        <x:v>46508</x:v>
      </x:c>
      <x:c r="B209" t="n">
        <x:f>10</x:f>
        <x:v>10</x:v>
      </x:c>
      <x:c r="C209" t="str">
        <x:f>IF($N$18="","",$N$18)</x:f>
      </x:c>
      <x:c r="D209" s="88" t="str">
        <x:f>IF(C209="","",I189)</x:f>
      </x:c>
      <x:c r="E209" s="88" t="str">
        <x:f>IF(C209="","",ROUND(D209*$P$18/12,2))</x:f>
      </x:c>
      <x:c r="F209" s="88" t="str">
        <x:f>IF(C209="","",MIN(D209+E209,$Q$18))</x:f>
      </x:c>
      <x:c r="G209" s="88" t="str">
        <x:f>IF(C209="","",MIN(MAX(0,D209+E209-F209),SUMIFS(SONDERZAHLUNGEN!$E$9:$E$128,SONDERZAHLUNGEN!$B$9:$B$128,C209,SONDERZAHLUNGEN!$C$9:$C$128,A209,SONDERZAHLUNGEN!$H$9:$H$128,"OK",SONDERZAHLUNGEN!$F$9:$F$128,"Ja")))</x:f>
      </x:c>
      <x:c r="H209" s="88" t="str">
        <x:f>IF(C209="","",MIN(MAX(0,D209+E209-F209-G209),MAX(0,IF(MONATSBUDGET!$C$17="",0,MONATSBUDGET!$C$17)-SUM(F200:F219)-SUM(H200:H208))))</x:f>
      </x:c>
      <x:c r="I209" s="88" t="str">
        <x:f>IF(C209="","",MAX(0,ROUND(D209+E209-F209-G209-H209,2)))</x:f>
      </x:c>
      <x:c r="J209" s="88" t="str">
        <x:f>IF(C209="","",F209+G209+H209)</x:f>
      </x:c>
      <x:c r="K209" s="88" t="str">
        <x:f>IF(C209="","",MAX(0,SUMIFS(SONDERZAHLUNGEN!$E$9:$E$128,SONDERZAHLUNGEN!$B$9:$B$128,C209,SONDERZAHLUNGEN!$C$9:$C$128,A209,SONDERZAHLUNGEN!$H$9:$H$128,"OK",SONDERZAHLUNGEN!$F$9:$F$128,"Ja")-G209))</x:f>
      </x:c>
    </x:row>
    <x:row r="210" ht="19" customHeight="1">
      <x:c r="A210" s="90" t="n">
        <x:f>MONATSBUDGET!$A$17</x:f>
        <x:v>46508</x:v>
      </x:c>
      <x:c r="B210" t="n">
        <x:f>11</x:f>
        <x:v>11</x:v>
      </x:c>
      <x:c r="C210" t="str">
        <x:f>IF($N$19="","",$N$19)</x:f>
      </x:c>
      <x:c r="D210" s="88" t="str">
        <x:f>IF(C210="","",I190)</x:f>
      </x:c>
      <x:c r="E210" s="88" t="str">
        <x:f>IF(C210="","",ROUND(D210*$P$19/12,2))</x:f>
      </x:c>
      <x:c r="F210" s="88" t="str">
        <x:f>IF(C210="","",MIN(D210+E210,$Q$19))</x:f>
      </x:c>
      <x:c r="G210" s="88" t="str">
        <x:f>IF(C210="","",MIN(MAX(0,D210+E210-F210),SUMIFS(SONDERZAHLUNGEN!$E$9:$E$128,SONDERZAHLUNGEN!$B$9:$B$128,C210,SONDERZAHLUNGEN!$C$9:$C$128,A210,SONDERZAHLUNGEN!$H$9:$H$128,"OK",SONDERZAHLUNGEN!$F$9:$F$128,"Ja")))</x:f>
      </x:c>
      <x:c r="H210" s="88" t="str">
        <x:f>IF(C210="","",MIN(MAX(0,D210+E210-F210-G210),MAX(0,IF(MONATSBUDGET!$C$17="",0,MONATSBUDGET!$C$17)-SUM(F200:F219)-SUM(H200:H209))))</x:f>
      </x:c>
      <x:c r="I210" s="88" t="str">
        <x:f>IF(C210="","",MAX(0,ROUND(D210+E210-F210-G210-H210,2)))</x:f>
      </x:c>
      <x:c r="J210" s="88" t="str">
        <x:f>IF(C210="","",F210+G210+H210)</x:f>
      </x:c>
      <x:c r="K210" s="88" t="str">
        <x:f>IF(C210="","",MAX(0,SUMIFS(SONDERZAHLUNGEN!$E$9:$E$128,SONDERZAHLUNGEN!$B$9:$B$128,C210,SONDERZAHLUNGEN!$C$9:$C$128,A210,SONDERZAHLUNGEN!$H$9:$H$128,"OK",SONDERZAHLUNGEN!$F$9:$F$128,"Ja")-G210))</x:f>
      </x:c>
    </x:row>
    <x:row r="211" ht="19" customHeight="1">
      <x:c r="A211" s="90" t="n">
        <x:f>MONATSBUDGET!$A$17</x:f>
        <x:v>46508</x:v>
      </x:c>
      <x:c r="B211" t="n">
        <x:f>12</x:f>
        <x:v>12</x:v>
      </x:c>
      <x:c r="C211" t="str">
        <x:f>IF($N$20="","",$N$20)</x:f>
      </x:c>
      <x:c r="D211" s="88" t="str">
        <x:f>IF(C211="","",I191)</x:f>
      </x:c>
      <x:c r="E211" s="88" t="str">
        <x:f>IF(C211="","",ROUND(D211*$P$20/12,2))</x:f>
      </x:c>
      <x:c r="F211" s="88" t="str">
        <x:f>IF(C211="","",MIN(D211+E211,$Q$20))</x:f>
      </x:c>
      <x:c r="G211" s="88" t="str">
        <x:f>IF(C211="","",MIN(MAX(0,D211+E211-F211),SUMIFS(SONDERZAHLUNGEN!$E$9:$E$128,SONDERZAHLUNGEN!$B$9:$B$128,C211,SONDERZAHLUNGEN!$C$9:$C$128,A211,SONDERZAHLUNGEN!$H$9:$H$128,"OK",SONDERZAHLUNGEN!$F$9:$F$128,"Ja")))</x:f>
      </x:c>
      <x:c r="H211" s="88" t="str">
        <x:f>IF(C211="","",MIN(MAX(0,D211+E211-F211-G211),MAX(0,IF(MONATSBUDGET!$C$17="",0,MONATSBUDGET!$C$17)-SUM(F200:F219)-SUM(H200:H210))))</x:f>
      </x:c>
      <x:c r="I211" s="88" t="str">
        <x:f>IF(C211="","",MAX(0,ROUND(D211+E211-F211-G211-H211,2)))</x:f>
      </x:c>
      <x:c r="J211" s="88" t="str">
        <x:f>IF(C211="","",F211+G211+H211)</x:f>
      </x:c>
      <x:c r="K211" s="88" t="str">
        <x:f>IF(C211="","",MAX(0,SUMIFS(SONDERZAHLUNGEN!$E$9:$E$128,SONDERZAHLUNGEN!$B$9:$B$128,C211,SONDERZAHLUNGEN!$C$9:$C$128,A211,SONDERZAHLUNGEN!$H$9:$H$128,"OK",SONDERZAHLUNGEN!$F$9:$F$128,"Ja")-G211))</x:f>
      </x:c>
    </x:row>
    <x:row r="212" ht="19" customHeight="1">
      <x:c r="A212" s="90" t="n">
        <x:f>MONATSBUDGET!$A$17</x:f>
        <x:v>46508</x:v>
      </x:c>
      <x:c r="B212" t="n">
        <x:f>13</x:f>
        <x:v>13</x:v>
      </x:c>
      <x:c r="C212" t="str">
        <x:f>IF($N$21="","",$N$21)</x:f>
      </x:c>
      <x:c r="D212" s="88" t="str">
        <x:f>IF(C212="","",I192)</x:f>
      </x:c>
      <x:c r="E212" s="88" t="str">
        <x:f>IF(C212="","",ROUND(D212*$P$21/12,2))</x:f>
      </x:c>
      <x:c r="F212" s="88" t="str">
        <x:f>IF(C212="","",MIN(D212+E212,$Q$21))</x:f>
      </x:c>
      <x:c r="G212" s="88" t="str">
        <x:f>IF(C212="","",MIN(MAX(0,D212+E212-F212),SUMIFS(SONDERZAHLUNGEN!$E$9:$E$128,SONDERZAHLUNGEN!$B$9:$B$128,C212,SONDERZAHLUNGEN!$C$9:$C$128,A212,SONDERZAHLUNGEN!$H$9:$H$128,"OK",SONDERZAHLUNGEN!$F$9:$F$128,"Ja")))</x:f>
      </x:c>
      <x:c r="H212" s="88" t="str">
        <x:f>IF(C212="","",MIN(MAX(0,D212+E212-F212-G212),MAX(0,IF(MONATSBUDGET!$C$17="",0,MONATSBUDGET!$C$17)-SUM(F200:F219)-SUM(H200:H211))))</x:f>
      </x:c>
      <x:c r="I212" s="88" t="str">
        <x:f>IF(C212="","",MAX(0,ROUND(D212+E212-F212-G212-H212,2)))</x:f>
      </x:c>
      <x:c r="J212" s="88" t="str">
        <x:f>IF(C212="","",F212+G212+H212)</x:f>
      </x:c>
      <x:c r="K212" s="88" t="str">
        <x:f>IF(C212="","",MAX(0,SUMIFS(SONDERZAHLUNGEN!$E$9:$E$128,SONDERZAHLUNGEN!$B$9:$B$128,C212,SONDERZAHLUNGEN!$C$9:$C$128,A212,SONDERZAHLUNGEN!$H$9:$H$128,"OK",SONDERZAHLUNGEN!$F$9:$F$128,"Ja")-G212))</x:f>
      </x:c>
    </x:row>
    <x:row r="213" ht="19" customHeight="1">
      <x:c r="A213" s="90" t="n">
        <x:f>MONATSBUDGET!$A$17</x:f>
        <x:v>46508</x:v>
      </x:c>
      <x:c r="B213" t="n">
        <x:f>14</x:f>
        <x:v>14</x:v>
      </x:c>
      <x:c r="C213" t="str">
        <x:f>IF($N$22="","",$N$22)</x:f>
      </x:c>
      <x:c r="D213" s="88" t="str">
        <x:f>IF(C213="","",I193)</x:f>
      </x:c>
      <x:c r="E213" s="88" t="str">
        <x:f>IF(C213="","",ROUND(D213*$P$22/12,2))</x:f>
      </x:c>
      <x:c r="F213" s="88" t="str">
        <x:f>IF(C213="","",MIN(D213+E213,$Q$22))</x:f>
      </x:c>
      <x:c r="G213" s="88" t="str">
        <x:f>IF(C213="","",MIN(MAX(0,D213+E213-F213),SUMIFS(SONDERZAHLUNGEN!$E$9:$E$128,SONDERZAHLUNGEN!$B$9:$B$128,C213,SONDERZAHLUNGEN!$C$9:$C$128,A213,SONDERZAHLUNGEN!$H$9:$H$128,"OK",SONDERZAHLUNGEN!$F$9:$F$128,"Ja")))</x:f>
      </x:c>
      <x:c r="H213" s="88" t="str">
        <x:f>IF(C213="","",MIN(MAX(0,D213+E213-F213-G213),MAX(0,IF(MONATSBUDGET!$C$17="",0,MONATSBUDGET!$C$17)-SUM(F200:F219)-SUM(H200:H212))))</x:f>
      </x:c>
      <x:c r="I213" s="88" t="str">
        <x:f>IF(C213="","",MAX(0,ROUND(D213+E213-F213-G213-H213,2)))</x:f>
      </x:c>
      <x:c r="J213" s="88" t="str">
        <x:f>IF(C213="","",F213+G213+H213)</x:f>
      </x:c>
      <x:c r="K213" s="88" t="str">
        <x:f>IF(C213="","",MAX(0,SUMIFS(SONDERZAHLUNGEN!$E$9:$E$128,SONDERZAHLUNGEN!$B$9:$B$128,C213,SONDERZAHLUNGEN!$C$9:$C$128,A213,SONDERZAHLUNGEN!$H$9:$H$128,"OK",SONDERZAHLUNGEN!$F$9:$F$128,"Ja")-G213))</x:f>
      </x:c>
    </x:row>
    <x:row r="214" ht="19" customHeight="1">
      <x:c r="A214" s="90" t="n">
        <x:f>MONATSBUDGET!$A$17</x:f>
        <x:v>46508</x:v>
      </x:c>
      <x:c r="B214" t="n">
        <x:f>15</x:f>
        <x:v>15</x:v>
      </x:c>
      <x:c r="C214" t="str">
        <x:f>IF($N$23="","",$N$23)</x:f>
      </x:c>
      <x:c r="D214" s="88" t="str">
        <x:f>IF(C214="","",I194)</x:f>
      </x:c>
      <x:c r="E214" s="88" t="str">
        <x:f>IF(C214="","",ROUND(D214*$P$23/12,2))</x:f>
      </x:c>
      <x:c r="F214" s="88" t="str">
        <x:f>IF(C214="","",MIN(D214+E214,$Q$23))</x:f>
      </x:c>
      <x:c r="G214" s="88" t="str">
        <x:f>IF(C214="","",MIN(MAX(0,D214+E214-F214),SUMIFS(SONDERZAHLUNGEN!$E$9:$E$128,SONDERZAHLUNGEN!$B$9:$B$128,C214,SONDERZAHLUNGEN!$C$9:$C$128,A214,SONDERZAHLUNGEN!$H$9:$H$128,"OK",SONDERZAHLUNGEN!$F$9:$F$128,"Ja")))</x:f>
      </x:c>
      <x:c r="H214" s="88" t="str">
        <x:f>IF(C214="","",MIN(MAX(0,D214+E214-F214-G214),MAX(0,IF(MONATSBUDGET!$C$17="",0,MONATSBUDGET!$C$17)-SUM(F200:F219)-SUM(H200:H213))))</x:f>
      </x:c>
      <x:c r="I214" s="88" t="str">
        <x:f>IF(C214="","",MAX(0,ROUND(D214+E214-F214-G214-H214,2)))</x:f>
      </x:c>
      <x:c r="J214" s="88" t="str">
        <x:f>IF(C214="","",F214+G214+H214)</x:f>
      </x:c>
      <x:c r="K214" s="88" t="str">
        <x:f>IF(C214="","",MAX(0,SUMIFS(SONDERZAHLUNGEN!$E$9:$E$128,SONDERZAHLUNGEN!$B$9:$B$128,C214,SONDERZAHLUNGEN!$C$9:$C$128,A214,SONDERZAHLUNGEN!$H$9:$H$128,"OK",SONDERZAHLUNGEN!$F$9:$F$128,"Ja")-G214))</x:f>
      </x:c>
    </x:row>
    <x:row r="215" ht="19" customHeight="1">
      <x:c r="A215" s="90" t="n">
        <x:f>MONATSBUDGET!$A$17</x:f>
        <x:v>46508</x:v>
      </x:c>
      <x:c r="B215" t="n">
        <x:f>16</x:f>
        <x:v>16</x:v>
      </x:c>
      <x:c r="C215" t="str">
        <x:f>IF($N$24="","",$N$24)</x:f>
      </x:c>
      <x:c r="D215" s="88" t="str">
        <x:f>IF(C215="","",I195)</x:f>
      </x:c>
      <x:c r="E215" s="88" t="str">
        <x:f>IF(C215="","",ROUND(D215*$P$24/12,2))</x:f>
      </x:c>
      <x:c r="F215" s="88" t="str">
        <x:f>IF(C215="","",MIN(D215+E215,$Q$24))</x:f>
      </x:c>
      <x:c r="G215" s="88" t="str">
        <x:f>IF(C215="","",MIN(MAX(0,D215+E215-F215),SUMIFS(SONDERZAHLUNGEN!$E$9:$E$128,SONDERZAHLUNGEN!$B$9:$B$128,C215,SONDERZAHLUNGEN!$C$9:$C$128,A215,SONDERZAHLUNGEN!$H$9:$H$128,"OK",SONDERZAHLUNGEN!$F$9:$F$128,"Ja")))</x:f>
      </x:c>
      <x:c r="H215" s="88" t="str">
        <x:f>IF(C215="","",MIN(MAX(0,D215+E215-F215-G215),MAX(0,IF(MONATSBUDGET!$C$17="",0,MONATSBUDGET!$C$17)-SUM(F200:F219)-SUM(H200:H214))))</x:f>
      </x:c>
      <x:c r="I215" s="88" t="str">
        <x:f>IF(C215="","",MAX(0,ROUND(D215+E215-F215-G215-H215,2)))</x:f>
      </x:c>
      <x:c r="J215" s="88" t="str">
        <x:f>IF(C215="","",F215+G215+H215)</x:f>
      </x:c>
      <x:c r="K215" s="88" t="str">
        <x:f>IF(C215="","",MAX(0,SUMIFS(SONDERZAHLUNGEN!$E$9:$E$128,SONDERZAHLUNGEN!$B$9:$B$128,C215,SONDERZAHLUNGEN!$C$9:$C$128,A215,SONDERZAHLUNGEN!$H$9:$H$128,"OK",SONDERZAHLUNGEN!$F$9:$F$128,"Ja")-G215))</x:f>
      </x:c>
    </x:row>
    <x:row r="216" ht="19" customHeight="1">
      <x:c r="A216" s="90" t="n">
        <x:f>MONATSBUDGET!$A$17</x:f>
        <x:v>46508</x:v>
      </x:c>
      <x:c r="B216" t="n">
        <x:f>17</x:f>
        <x:v>17</x:v>
      </x:c>
      <x:c r="C216" t="str">
        <x:f>IF($N$25="","",$N$25)</x:f>
      </x:c>
      <x:c r="D216" s="88" t="str">
        <x:f>IF(C216="","",I196)</x:f>
      </x:c>
      <x:c r="E216" s="88" t="str">
        <x:f>IF(C216="","",ROUND(D216*$P$25/12,2))</x:f>
      </x:c>
      <x:c r="F216" s="88" t="str">
        <x:f>IF(C216="","",MIN(D216+E216,$Q$25))</x:f>
      </x:c>
      <x:c r="G216" s="88" t="str">
        <x:f>IF(C216="","",MIN(MAX(0,D216+E216-F216),SUMIFS(SONDERZAHLUNGEN!$E$9:$E$128,SONDERZAHLUNGEN!$B$9:$B$128,C216,SONDERZAHLUNGEN!$C$9:$C$128,A216,SONDERZAHLUNGEN!$H$9:$H$128,"OK",SONDERZAHLUNGEN!$F$9:$F$128,"Ja")))</x:f>
      </x:c>
      <x:c r="H216" s="88" t="str">
        <x:f>IF(C216="","",MIN(MAX(0,D216+E216-F216-G216),MAX(0,IF(MONATSBUDGET!$C$17="",0,MONATSBUDGET!$C$17)-SUM(F200:F219)-SUM(H200:H215))))</x:f>
      </x:c>
      <x:c r="I216" s="88" t="str">
        <x:f>IF(C216="","",MAX(0,ROUND(D216+E216-F216-G216-H216,2)))</x:f>
      </x:c>
      <x:c r="J216" s="88" t="str">
        <x:f>IF(C216="","",F216+G216+H216)</x:f>
      </x:c>
      <x:c r="K216" s="88" t="str">
        <x:f>IF(C216="","",MAX(0,SUMIFS(SONDERZAHLUNGEN!$E$9:$E$128,SONDERZAHLUNGEN!$B$9:$B$128,C216,SONDERZAHLUNGEN!$C$9:$C$128,A216,SONDERZAHLUNGEN!$H$9:$H$128,"OK",SONDERZAHLUNGEN!$F$9:$F$128,"Ja")-G216))</x:f>
      </x:c>
    </x:row>
    <x:row r="217" ht="19" customHeight="1">
      <x:c r="A217" s="90" t="n">
        <x:f>MONATSBUDGET!$A$17</x:f>
        <x:v>46508</x:v>
      </x:c>
      <x:c r="B217" t="n">
        <x:f>18</x:f>
        <x:v>18</x:v>
      </x:c>
      <x:c r="C217" t="str">
        <x:f>IF($N$26="","",$N$26)</x:f>
      </x:c>
      <x:c r="D217" s="88" t="str">
        <x:f>IF(C217="","",I197)</x:f>
      </x:c>
      <x:c r="E217" s="88" t="str">
        <x:f>IF(C217="","",ROUND(D217*$P$26/12,2))</x:f>
      </x:c>
      <x:c r="F217" s="88" t="str">
        <x:f>IF(C217="","",MIN(D217+E217,$Q$26))</x:f>
      </x:c>
      <x:c r="G217" s="88" t="str">
        <x:f>IF(C217="","",MIN(MAX(0,D217+E217-F217),SUMIFS(SONDERZAHLUNGEN!$E$9:$E$128,SONDERZAHLUNGEN!$B$9:$B$128,C217,SONDERZAHLUNGEN!$C$9:$C$128,A217,SONDERZAHLUNGEN!$H$9:$H$128,"OK",SONDERZAHLUNGEN!$F$9:$F$128,"Ja")))</x:f>
      </x:c>
      <x:c r="H217" s="88" t="str">
        <x:f>IF(C217="","",MIN(MAX(0,D217+E217-F217-G217),MAX(0,IF(MONATSBUDGET!$C$17="",0,MONATSBUDGET!$C$17)-SUM(F200:F219)-SUM(H200:H216))))</x:f>
      </x:c>
      <x:c r="I217" s="88" t="str">
        <x:f>IF(C217="","",MAX(0,ROUND(D217+E217-F217-G217-H217,2)))</x:f>
      </x:c>
      <x:c r="J217" s="88" t="str">
        <x:f>IF(C217="","",F217+G217+H217)</x:f>
      </x:c>
      <x:c r="K217" s="88" t="str">
        <x:f>IF(C217="","",MAX(0,SUMIFS(SONDERZAHLUNGEN!$E$9:$E$128,SONDERZAHLUNGEN!$B$9:$B$128,C217,SONDERZAHLUNGEN!$C$9:$C$128,A217,SONDERZAHLUNGEN!$H$9:$H$128,"OK",SONDERZAHLUNGEN!$F$9:$F$128,"Ja")-G217))</x:f>
      </x:c>
    </x:row>
    <x:row r="218" ht="19" customHeight="1">
      <x:c r="A218" s="90" t="n">
        <x:f>MONATSBUDGET!$A$17</x:f>
        <x:v>46508</x:v>
      </x:c>
      <x:c r="B218" t="n">
        <x:f>19</x:f>
        <x:v>19</x:v>
      </x:c>
      <x:c r="C218" t="str">
        <x:f>IF($N$27="","",$N$27)</x:f>
      </x:c>
      <x:c r="D218" s="88" t="str">
        <x:f>IF(C218="","",I198)</x:f>
      </x:c>
      <x:c r="E218" s="88" t="str">
        <x:f>IF(C218="","",ROUND(D218*$P$27/12,2))</x:f>
      </x:c>
      <x:c r="F218" s="88" t="str">
        <x:f>IF(C218="","",MIN(D218+E218,$Q$27))</x:f>
      </x:c>
      <x:c r="G218" s="88" t="str">
        <x:f>IF(C218="","",MIN(MAX(0,D218+E218-F218),SUMIFS(SONDERZAHLUNGEN!$E$9:$E$128,SONDERZAHLUNGEN!$B$9:$B$128,C218,SONDERZAHLUNGEN!$C$9:$C$128,A218,SONDERZAHLUNGEN!$H$9:$H$128,"OK",SONDERZAHLUNGEN!$F$9:$F$128,"Ja")))</x:f>
      </x:c>
      <x:c r="H218" s="88" t="str">
        <x:f>IF(C218="","",MIN(MAX(0,D218+E218-F218-G218),MAX(0,IF(MONATSBUDGET!$C$17="",0,MONATSBUDGET!$C$17)-SUM(F200:F219)-SUM(H200:H217))))</x:f>
      </x:c>
      <x:c r="I218" s="88" t="str">
        <x:f>IF(C218="","",MAX(0,ROUND(D218+E218-F218-G218-H218,2)))</x:f>
      </x:c>
      <x:c r="J218" s="88" t="str">
        <x:f>IF(C218="","",F218+G218+H218)</x:f>
      </x:c>
      <x:c r="K218" s="88" t="str">
        <x:f>IF(C218="","",MAX(0,SUMIFS(SONDERZAHLUNGEN!$E$9:$E$128,SONDERZAHLUNGEN!$B$9:$B$128,C218,SONDERZAHLUNGEN!$C$9:$C$128,A218,SONDERZAHLUNGEN!$H$9:$H$128,"OK",SONDERZAHLUNGEN!$F$9:$F$128,"Ja")-G218))</x:f>
      </x:c>
    </x:row>
    <x:row r="219" ht="19" customHeight="1">
      <x:c r="A219" s="90" t="n">
        <x:f>MONATSBUDGET!$A$17</x:f>
        <x:v>46508</x:v>
      </x:c>
      <x:c r="B219" t="n">
        <x:f>20</x:f>
        <x:v>20</x:v>
      </x:c>
      <x:c r="C219" t="str">
        <x:f>IF($N$28="","",$N$28)</x:f>
      </x:c>
      <x:c r="D219" s="88" t="str">
        <x:f>IF(C219="","",I199)</x:f>
      </x:c>
      <x:c r="E219" s="88" t="str">
        <x:f>IF(C219="","",ROUND(D219*$P$28/12,2))</x:f>
      </x:c>
      <x:c r="F219" s="88" t="str">
        <x:f>IF(C219="","",MIN(D219+E219,$Q$28))</x:f>
      </x:c>
      <x:c r="G219" s="88" t="str">
        <x:f>IF(C219="","",MIN(MAX(0,D219+E219-F219),SUMIFS(SONDERZAHLUNGEN!$E$9:$E$128,SONDERZAHLUNGEN!$B$9:$B$128,C219,SONDERZAHLUNGEN!$C$9:$C$128,A219,SONDERZAHLUNGEN!$H$9:$H$128,"OK",SONDERZAHLUNGEN!$F$9:$F$128,"Ja")))</x:f>
      </x:c>
      <x:c r="H219" s="88" t="str">
        <x:f>IF(C219="","",MIN(MAX(0,D219+E219-F219-G219),MAX(0,IF(MONATSBUDGET!$C$17="",0,MONATSBUDGET!$C$17)-SUM(F200:F219)-SUM(H200:H218))))</x:f>
      </x:c>
      <x:c r="I219" s="88" t="str">
        <x:f>IF(C219="","",MAX(0,ROUND(D219+E219-F219-G219-H219,2)))</x:f>
      </x:c>
      <x:c r="J219" s="88" t="str">
        <x:f>IF(C219="","",F219+G219+H219)</x:f>
      </x:c>
      <x:c r="K219" s="88" t="str">
        <x:f>IF(C219="","",MAX(0,SUMIFS(SONDERZAHLUNGEN!$E$9:$E$128,SONDERZAHLUNGEN!$B$9:$B$128,C219,SONDERZAHLUNGEN!$C$9:$C$128,A219,SONDERZAHLUNGEN!$H$9:$H$128,"OK",SONDERZAHLUNGEN!$F$9:$F$128,"Ja")-G219))</x:f>
      </x:c>
    </x:row>
    <x:row r="220" ht="19" customHeight="1">
      <x:c r="A220" s="90" t="n">
        <x:f>MONATSBUDGET!$A$18</x:f>
        <x:v>46539</x:v>
      </x:c>
      <x:c r="B220" t="n">
        <x:f>1</x:f>
        <x:v>1</x:v>
      </x:c>
      <x:c r="C220" t="str">
        <x:f>IF($N$9="","",$N$9)</x:f>
      </x:c>
      <x:c r="D220" s="88" t="str">
        <x:f>IF(C220="","",I200)</x:f>
      </x:c>
      <x:c r="E220" s="88" t="str">
        <x:f>IF(C220="","",ROUND(D220*$P$9/12,2))</x:f>
      </x:c>
      <x:c r="F220" s="88" t="str">
        <x:f>IF(C220="","",MIN(D220+E220,$Q$9))</x:f>
      </x:c>
      <x:c r="G220" s="88" t="str">
        <x:f>IF(C220="","",MIN(MAX(0,D220+E220-F220),SUMIFS(SONDERZAHLUNGEN!$E$9:$E$128,SONDERZAHLUNGEN!$B$9:$B$128,C220,SONDERZAHLUNGEN!$C$9:$C$128,A220,SONDERZAHLUNGEN!$H$9:$H$128,"OK",SONDERZAHLUNGEN!$F$9:$F$128,"Ja")))</x:f>
      </x:c>
      <x:c r="H220" s="88" t="str">
        <x:f>IF(C220="","",MIN(MAX(0,D220+E220-F220-G220),MAX(0,IF(MONATSBUDGET!$C$18="",0,MONATSBUDGET!$C$18)-SUM(F220:F239)-0)))</x:f>
      </x:c>
      <x:c r="I220" s="88" t="str">
        <x:f>IF(C220="","",MAX(0,ROUND(D220+E220-F220-G220-H220,2)))</x:f>
      </x:c>
      <x:c r="J220" s="88" t="str">
        <x:f>IF(C220="","",F220+G220+H220)</x:f>
      </x:c>
      <x:c r="K220" s="88" t="str">
        <x:f>IF(C220="","",MAX(0,SUMIFS(SONDERZAHLUNGEN!$E$9:$E$128,SONDERZAHLUNGEN!$B$9:$B$128,C220,SONDERZAHLUNGEN!$C$9:$C$128,A220,SONDERZAHLUNGEN!$H$9:$H$128,"OK",SONDERZAHLUNGEN!$F$9:$F$128,"Ja")-G220))</x:f>
      </x:c>
    </x:row>
    <x:row r="221" ht="19" customHeight="1">
      <x:c r="A221" s="90" t="n">
        <x:f>MONATSBUDGET!$A$18</x:f>
        <x:v>46539</x:v>
      </x:c>
      <x:c r="B221" t="n">
        <x:f>2</x:f>
        <x:v>2</x:v>
      </x:c>
      <x:c r="C221" t="str">
        <x:f>IF($N$10="","",$N$10)</x:f>
      </x:c>
      <x:c r="D221" s="88" t="str">
        <x:f>IF(C221="","",I201)</x:f>
      </x:c>
      <x:c r="E221" s="88" t="str">
        <x:f>IF(C221="","",ROUND(D221*$P$10/12,2))</x:f>
      </x:c>
      <x:c r="F221" s="88" t="str">
        <x:f>IF(C221="","",MIN(D221+E221,$Q$10))</x:f>
      </x:c>
      <x:c r="G221" s="88" t="str">
        <x:f>IF(C221="","",MIN(MAX(0,D221+E221-F221),SUMIFS(SONDERZAHLUNGEN!$E$9:$E$128,SONDERZAHLUNGEN!$B$9:$B$128,C221,SONDERZAHLUNGEN!$C$9:$C$128,A221,SONDERZAHLUNGEN!$H$9:$H$128,"OK",SONDERZAHLUNGEN!$F$9:$F$128,"Ja")))</x:f>
      </x:c>
      <x:c r="H221" s="88" t="str">
        <x:f>IF(C221="","",MIN(MAX(0,D221+E221-F221-G221),MAX(0,IF(MONATSBUDGET!$C$18="",0,MONATSBUDGET!$C$18)-SUM(F220:F239)-SUM(H220:H220))))</x:f>
      </x:c>
      <x:c r="I221" s="88" t="str">
        <x:f>IF(C221="","",MAX(0,ROUND(D221+E221-F221-G221-H221,2)))</x:f>
      </x:c>
      <x:c r="J221" s="88" t="str">
        <x:f>IF(C221="","",F221+G221+H221)</x:f>
      </x:c>
      <x:c r="K221" s="88" t="str">
        <x:f>IF(C221="","",MAX(0,SUMIFS(SONDERZAHLUNGEN!$E$9:$E$128,SONDERZAHLUNGEN!$B$9:$B$128,C221,SONDERZAHLUNGEN!$C$9:$C$128,A221,SONDERZAHLUNGEN!$H$9:$H$128,"OK",SONDERZAHLUNGEN!$F$9:$F$128,"Ja")-G221))</x:f>
      </x:c>
    </x:row>
    <x:row r="222" ht="19" customHeight="1">
      <x:c r="A222" s="90" t="n">
        <x:f>MONATSBUDGET!$A$18</x:f>
        <x:v>46539</x:v>
      </x:c>
      <x:c r="B222" t="n">
        <x:f>3</x:f>
        <x:v>3</x:v>
      </x:c>
      <x:c r="C222" t="str">
        <x:f>IF($N$11="","",$N$11)</x:f>
      </x:c>
      <x:c r="D222" s="88" t="str">
        <x:f>IF(C222="","",I202)</x:f>
      </x:c>
      <x:c r="E222" s="88" t="str">
        <x:f>IF(C222="","",ROUND(D222*$P$11/12,2))</x:f>
      </x:c>
      <x:c r="F222" s="88" t="str">
        <x:f>IF(C222="","",MIN(D222+E222,$Q$11))</x:f>
      </x:c>
      <x:c r="G222" s="88" t="str">
        <x:f>IF(C222="","",MIN(MAX(0,D222+E222-F222),SUMIFS(SONDERZAHLUNGEN!$E$9:$E$128,SONDERZAHLUNGEN!$B$9:$B$128,C222,SONDERZAHLUNGEN!$C$9:$C$128,A222,SONDERZAHLUNGEN!$H$9:$H$128,"OK",SONDERZAHLUNGEN!$F$9:$F$128,"Ja")))</x:f>
      </x:c>
      <x:c r="H222" s="88" t="str">
        <x:f>IF(C222="","",MIN(MAX(0,D222+E222-F222-G222),MAX(0,IF(MONATSBUDGET!$C$18="",0,MONATSBUDGET!$C$18)-SUM(F220:F239)-SUM(H220:H221))))</x:f>
      </x:c>
      <x:c r="I222" s="88" t="str">
        <x:f>IF(C222="","",MAX(0,ROUND(D222+E222-F222-G222-H222,2)))</x:f>
      </x:c>
      <x:c r="J222" s="88" t="str">
        <x:f>IF(C222="","",F222+G222+H222)</x:f>
      </x:c>
      <x:c r="K222" s="88" t="str">
        <x:f>IF(C222="","",MAX(0,SUMIFS(SONDERZAHLUNGEN!$E$9:$E$128,SONDERZAHLUNGEN!$B$9:$B$128,C222,SONDERZAHLUNGEN!$C$9:$C$128,A222,SONDERZAHLUNGEN!$H$9:$H$128,"OK",SONDERZAHLUNGEN!$F$9:$F$128,"Ja")-G222))</x:f>
      </x:c>
    </x:row>
    <x:row r="223" ht="19" customHeight="1">
      <x:c r="A223" s="90" t="n">
        <x:f>MONATSBUDGET!$A$18</x:f>
        <x:v>46539</x:v>
      </x:c>
      <x:c r="B223" t="n">
        <x:f>4</x:f>
        <x:v>4</x:v>
      </x:c>
      <x:c r="C223" t="str">
        <x:f>IF($N$12="","",$N$12)</x:f>
      </x:c>
      <x:c r="D223" s="88" t="str">
        <x:f>IF(C223="","",I203)</x:f>
      </x:c>
      <x:c r="E223" s="88" t="str">
        <x:f>IF(C223="","",ROUND(D223*$P$12/12,2))</x:f>
      </x:c>
      <x:c r="F223" s="88" t="str">
        <x:f>IF(C223="","",MIN(D223+E223,$Q$12))</x:f>
      </x:c>
      <x:c r="G223" s="88" t="str">
        <x:f>IF(C223="","",MIN(MAX(0,D223+E223-F223),SUMIFS(SONDERZAHLUNGEN!$E$9:$E$128,SONDERZAHLUNGEN!$B$9:$B$128,C223,SONDERZAHLUNGEN!$C$9:$C$128,A223,SONDERZAHLUNGEN!$H$9:$H$128,"OK",SONDERZAHLUNGEN!$F$9:$F$128,"Ja")))</x:f>
      </x:c>
      <x:c r="H223" s="88" t="str">
        <x:f>IF(C223="","",MIN(MAX(0,D223+E223-F223-G223),MAX(0,IF(MONATSBUDGET!$C$18="",0,MONATSBUDGET!$C$18)-SUM(F220:F239)-SUM(H220:H222))))</x:f>
      </x:c>
      <x:c r="I223" s="88" t="str">
        <x:f>IF(C223="","",MAX(0,ROUND(D223+E223-F223-G223-H223,2)))</x:f>
      </x:c>
      <x:c r="J223" s="88" t="str">
        <x:f>IF(C223="","",F223+G223+H223)</x:f>
      </x:c>
      <x:c r="K223" s="88" t="str">
        <x:f>IF(C223="","",MAX(0,SUMIFS(SONDERZAHLUNGEN!$E$9:$E$128,SONDERZAHLUNGEN!$B$9:$B$128,C223,SONDERZAHLUNGEN!$C$9:$C$128,A223,SONDERZAHLUNGEN!$H$9:$H$128,"OK",SONDERZAHLUNGEN!$F$9:$F$128,"Ja")-G223))</x:f>
      </x:c>
    </x:row>
    <x:row r="224" ht="19" customHeight="1">
      <x:c r="A224" s="90" t="n">
        <x:f>MONATSBUDGET!$A$18</x:f>
        <x:v>46539</x:v>
      </x:c>
      <x:c r="B224" t="n">
        <x:f>5</x:f>
        <x:v>5</x:v>
      </x:c>
      <x:c r="C224" t="str">
        <x:f>IF($N$13="","",$N$13)</x:f>
      </x:c>
      <x:c r="D224" s="88" t="str">
        <x:f>IF(C224="","",I204)</x:f>
      </x:c>
      <x:c r="E224" s="88" t="str">
        <x:f>IF(C224="","",ROUND(D224*$P$13/12,2))</x:f>
      </x:c>
      <x:c r="F224" s="88" t="str">
        <x:f>IF(C224="","",MIN(D224+E224,$Q$13))</x:f>
      </x:c>
      <x:c r="G224" s="88" t="str">
        <x:f>IF(C224="","",MIN(MAX(0,D224+E224-F224),SUMIFS(SONDERZAHLUNGEN!$E$9:$E$128,SONDERZAHLUNGEN!$B$9:$B$128,C224,SONDERZAHLUNGEN!$C$9:$C$128,A224,SONDERZAHLUNGEN!$H$9:$H$128,"OK",SONDERZAHLUNGEN!$F$9:$F$128,"Ja")))</x:f>
      </x:c>
      <x:c r="H224" s="88" t="str">
        <x:f>IF(C224="","",MIN(MAX(0,D224+E224-F224-G224),MAX(0,IF(MONATSBUDGET!$C$18="",0,MONATSBUDGET!$C$18)-SUM(F220:F239)-SUM(H220:H223))))</x:f>
      </x:c>
      <x:c r="I224" s="88" t="str">
        <x:f>IF(C224="","",MAX(0,ROUND(D224+E224-F224-G224-H224,2)))</x:f>
      </x:c>
      <x:c r="J224" s="88" t="str">
        <x:f>IF(C224="","",F224+G224+H224)</x:f>
      </x:c>
      <x:c r="K224" s="88" t="str">
        <x:f>IF(C224="","",MAX(0,SUMIFS(SONDERZAHLUNGEN!$E$9:$E$128,SONDERZAHLUNGEN!$B$9:$B$128,C224,SONDERZAHLUNGEN!$C$9:$C$128,A224,SONDERZAHLUNGEN!$H$9:$H$128,"OK",SONDERZAHLUNGEN!$F$9:$F$128,"Ja")-G224))</x:f>
      </x:c>
    </x:row>
    <x:row r="225" ht="19" customHeight="1">
      <x:c r="A225" s="90" t="n">
        <x:f>MONATSBUDGET!$A$18</x:f>
        <x:v>46539</x:v>
      </x:c>
      <x:c r="B225" t="n">
        <x:f>6</x:f>
        <x:v>6</x:v>
      </x:c>
      <x:c r="C225" t="str">
        <x:f>IF($N$14="","",$N$14)</x:f>
      </x:c>
      <x:c r="D225" s="88" t="str">
        <x:f>IF(C225="","",I205)</x:f>
      </x:c>
      <x:c r="E225" s="88" t="str">
        <x:f>IF(C225="","",ROUND(D225*$P$14/12,2))</x:f>
      </x:c>
      <x:c r="F225" s="88" t="str">
        <x:f>IF(C225="","",MIN(D225+E225,$Q$14))</x:f>
      </x:c>
      <x:c r="G225" s="88" t="str">
        <x:f>IF(C225="","",MIN(MAX(0,D225+E225-F225),SUMIFS(SONDERZAHLUNGEN!$E$9:$E$128,SONDERZAHLUNGEN!$B$9:$B$128,C225,SONDERZAHLUNGEN!$C$9:$C$128,A225,SONDERZAHLUNGEN!$H$9:$H$128,"OK",SONDERZAHLUNGEN!$F$9:$F$128,"Ja")))</x:f>
      </x:c>
      <x:c r="H225" s="88" t="str">
        <x:f>IF(C225="","",MIN(MAX(0,D225+E225-F225-G225),MAX(0,IF(MONATSBUDGET!$C$18="",0,MONATSBUDGET!$C$18)-SUM(F220:F239)-SUM(H220:H224))))</x:f>
      </x:c>
      <x:c r="I225" s="88" t="str">
        <x:f>IF(C225="","",MAX(0,ROUND(D225+E225-F225-G225-H225,2)))</x:f>
      </x:c>
      <x:c r="J225" s="88" t="str">
        <x:f>IF(C225="","",F225+G225+H225)</x:f>
      </x:c>
      <x:c r="K225" s="88" t="str">
        <x:f>IF(C225="","",MAX(0,SUMIFS(SONDERZAHLUNGEN!$E$9:$E$128,SONDERZAHLUNGEN!$B$9:$B$128,C225,SONDERZAHLUNGEN!$C$9:$C$128,A225,SONDERZAHLUNGEN!$H$9:$H$128,"OK",SONDERZAHLUNGEN!$F$9:$F$128,"Ja")-G225))</x:f>
      </x:c>
    </x:row>
    <x:row r="226" ht="19" customHeight="1">
      <x:c r="A226" s="90" t="n">
        <x:f>MONATSBUDGET!$A$18</x:f>
        <x:v>46539</x:v>
      </x:c>
      <x:c r="B226" t="n">
        <x:f>7</x:f>
        <x:v>7</x:v>
      </x:c>
      <x:c r="C226" t="str">
        <x:f>IF($N$15="","",$N$15)</x:f>
      </x:c>
      <x:c r="D226" s="88" t="str">
        <x:f>IF(C226="","",I206)</x:f>
      </x:c>
      <x:c r="E226" s="88" t="str">
        <x:f>IF(C226="","",ROUND(D226*$P$15/12,2))</x:f>
      </x:c>
      <x:c r="F226" s="88" t="str">
        <x:f>IF(C226="","",MIN(D226+E226,$Q$15))</x:f>
      </x:c>
      <x:c r="G226" s="88" t="str">
        <x:f>IF(C226="","",MIN(MAX(0,D226+E226-F226),SUMIFS(SONDERZAHLUNGEN!$E$9:$E$128,SONDERZAHLUNGEN!$B$9:$B$128,C226,SONDERZAHLUNGEN!$C$9:$C$128,A226,SONDERZAHLUNGEN!$H$9:$H$128,"OK",SONDERZAHLUNGEN!$F$9:$F$128,"Ja")))</x:f>
      </x:c>
      <x:c r="H226" s="88" t="str">
        <x:f>IF(C226="","",MIN(MAX(0,D226+E226-F226-G226),MAX(0,IF(MONATSBUDGET!$C$18="",0,MONATSBUDGET!$C$18)-SUM(F220:F239)-SUM(H220:H225))))</x:f>
      </x:c>
      <x:c r="I226" s="88" t="str">
        <x:f>IF(C226="","",MAX(0,ROUND(D226+E226-F226-G226-H226,2)))</x:f>
      </x:c>
      <x:c r="J226" s="88" t="str">
        <x:f>IF(C226="","",F226+G226+H226)</x:f>
      </x:c>
      <x:c r="K226" s="88" t="str">
        <x:f>IF(C226="","",MAX(0,SUMIFS(SONDERZAHLUNGEN!$E$9:$E$128,SONDERZAHLUNGEN!$B$9:$B$128,C226,SONDERZAHLUNGEN!$C$9:$C$128,A226,SONDERZAHLUNGEN!$H$9:$H$128,"OK",SONDERZAHLUNGEN!$F$9:$F$128,"Ja")-G226))</x:f>
      </x:c>
    </x:row>
    <x:row r="227" ht="19" customHeight="1">
      <x:c r="A227" s="90" t="n">
        <x:f>MONATSBUDGET!$A$18</x:f>
        <x:v>46539</x:v>
      </x:c>
      <x:c r="B227" t="n">
        <x:f>8</x:f>
        <x:v>8</x:v>
      </x:c>
      <x:c r="C227" t="str">
        <x:f>IF($N$16="","",$N$16)</x:f>
      </x:c>
      <x:c r="D227" s="88" t="str">
        <x:f>IF(C227="","",I207)</x:f>
      </x:c>
      <x:c r="E227" s="88" t="str">
        <x:f>IF(C227="","",ROUND(D227*$P$16/12,2))</x:f>
      </x:c>
      <x:c r="F227" s="88" t="str">
        <x:f>IF(C227="","",MIN(D227+E227,$Q$16))</x:f>
      </x:c>
      <x:c r="G227" s="88" t="str">
        <x:f>IF(C227="","",MIN(MAX(0,D227+E227-F227),SUMIFS(SONDERZAHLUNGEN!$E$9:$E$128,SONDERZAHLUNGEN!$B$9:$B$128,C227,SONDERZAHLUNGEN!$C$9:$C$128,A227,SONDERZAHLUNGEN!$H$9:$H$128,"OK",SONDERZAHLUNGEN!$F$9:$F$128,"Ja")))</x:f>
      </x:c>
      <x:c r="H227" s="88" t="str">
        <x:f>IF(C227="","",MIN(MAX(0,D227+E227-F227-G227),MAX(0,IF(MONATSBUDGET!$C$18="",0,MONATSBUDGET!$C$18)-SUM(F220:F239)-SUM(H220:H226))))</x:f>
      </x:c>
      <x:c r="I227" s="88" t="str">
        <x:f>IF(C227="","",MAX(0,ROUND(D227+E227-F227-G227-H227,2)))</x:f>
      </x:c>
      <x:c r="J227" s="88" t="str">
        <x:f>IF(C227="","",F227+G227+H227)</x:f>
      </x:c>
      <x:c r="K227" s="88" t="str">
        <x:f>IF(C227="","",MAX(0,SUMIFS(SONDERZAHLUNGEN!$E$9:$E$128,SONDERZAHLUNGEN!$B$9:$B$128,C227,SONDERZAHLUNGEN!$C$9:$C$128,A227,SONDERZAHLUNGEN!$H$9:$H$128,"OK",SONDERZAHLUNGEN!$F$9:$F$128,"Ja")-G227))</x:f>
      </x:c>
    </x:row>
    <x:row r="228" ht="19" customHeight="1">
      <x:c r="A228" s="90" t="n">
        <x:f>MONATSBUDGET!$A$18</x:f>
        <x:v>46539</x:v>
      </x:c>
      <x:c r="B228" t="n">
        <x:f>9</x:f>
        <x:v>9</x:v>
      </x:c>
      <x:c r="C228" t="str">
        <x:f>IF($N$17="","",$N$17)</x:f>
      </x:c>
      <x:c r="D228" s="88" t="str">
        <x:f>IF(C228="","",I208)</x:f>
      </x:c>
      <x:c r="E228" s="88" t="str">
        <x:f>IF(C228="","",ROUND(D228*$P$17/12,2))</x:f>
      </x:c>
      <x:c r="F228" s="88" t="str">
        <x:f>IF(C228="","",MIN(D228+E228,$Q$17))</x:f>
      </x:c>
      <x:c r="G228" s="88" t="str">
        <x:f>IF(C228="","",MIN(MAX(0,D228+E228-F228),SUMIFS(SONDERZAHLUNGEN!$E$9:$E$128,SONDERZAHLUNGEN!$B$9:$B$128,C228,SONDERZAHLUNGEN!$C$9:$C$128,A228,SONDERZAHLUNGEN!$H$9:$H$128,"OK",SONDERZAHLUNGEN!$F$9:$F$128,"Ja")))</x:f>
      </x:c>
      <x:c r="H228" s="88" t="str">
        <x:f>IF(C228="","",MIN(MAX(0,D228+E228-F228-G228),MAX(0,IF(MONATSBUDGET!$C$18="",0,MONATSBUDGET!$C$18)-SUM(F220:F239)-SUM(H220:H227))))</x:f>
      </x:c>
      <x:c r="I228" s="88" t="str">
        <x:f>IF(C228="","",MAX(0,ROUND(D228+E228-F228-G228-H228,2)))</x:f>
      </x:c>
      <x:c r="J228" s="88" t="str">
        <x:f>IF(C228="","",F228+G228+H228)</x:f>
      </x:c>
      <x:c r="K228" s="88" t="str">
        <x:f>IF(C228="","",MAX(0,SUMIFS(SONDERZAHLUNGEN!$E$9:$E$128,SONDERZAHLUNGEN!$B$9:$B$128,C228,SONDERZAHLUNGEN!$C$9:$C$128,A228,SONDERZAHLUNGEN!$H$9:$H$128,"OK",SONDERZAHLUNGEN!$F$9:$F$128,"Ja")-G228))</x:f>
      </x:c>
    </x:row>
    <x:row r="229" ht="19" customHeight="1">
      <x:c r="A229" s="90" t="n">
        <x:f>MONATSBUDGET!$A$18</x:f>
        <x:v>46539</x:v>
      </x:c>
      <x:c r="B229" t="n">
        <x:f>10</x:f>
        <x:v>10</x:v>
      </x:c>
      <x:c r="C229" t="str">
        <x:f>IF($N$18="","",$N$18)</x:f>
      </x:c>
      <x:c r="D229" s="88" t="str">
        <x:f>IF(C229="","",I209)</x:f>
      </x:c>
      <x:c r="E229" s="88" t="str">
        <x:f>IF(C229="","",ROUND(D229*$P$18/12,2))</x:f>
      </x:c>
      <x:c r="F229" s="88" t="str">
        <x:f>IF(C229="","",MIN(D229+E229,$Q$18))</x:f>
      </x:c>
      <x:c r="G229" s="88" t="str">
        <x:f>IF(C229="","",MIN(MAX(0,D229+E229-F229),SUMIFS(SONDERZAHLUNGEN!$E$9:$E$128,SONDERZAHLUNGEN!$B$9:$B$128,C229,SONDERZAHLUNGEN!$C$9:$C$128,A229,SONDERZAHLUNGEN!$H$9:$H$128,"OK",SONDERZAHLUNGEN!$F$9:$F$128,"Ja")))</x:f>
      </x:c>
      <x:c r="H229" s="88" t="str">
        <x:f>IF(C229="","",MIN(MAX(0,D229+E229-F229-G229),MAX(0,IF(MONATSBUDGET!$C$18="",0,MONATSBUDGET!$C$18)-SUM(F220:F239)-SUM(H220:H228))))</x:f>
      </x:c>
      <x:c r="I229" s="88" t="str">
        <x:f>IF(C229="","",MAX(0,ROUND(D229+E229-F229-G229-H229,2)))</x:f>
      </x:c>
      <x:c r="J229" s="88" t="str">
        <x:f>IF(C229="","",F229+G229+H229)</x:f>
      </x:c>
      <x:c r="K229" s="88" t="str">
        <x:f>IF(C229="","",MAX(0,SUMIFS(SONDERZAHLUNGEN!$E$9:$E$128,SONDERZAHLUNGEN!$B$9:$B$128,C229,SONDERZAHLUNGEN!$C$9:$C$128,A229,SONDERZAHLUNGEN!$H$9:$H$128,"OK",SONDERZAHLUNGEN!$F$9:$F$128,"Ja")-G229))</x:f>
      </x:c>
    </x:row>
    <x:row r="230" ht="19" customHeight="1">
      <x:c r="A230" s="90" t="n">
        <x:f>MONATSBUDGET!$A$18</x:f>
        <x:v>46539</x:v>
      </x:c>
      <x:c r="B230" t="n">
        <x:f>11</x:f>
        <x:v>11</x:v>
      </x:c>
      <x:c r="C230" t="str">
        <x:f>IF($N$19="","",$N$19)</x:f>
      </x:c>
      <x:c r="D230" s="88" t="str">
        <x:f>IF(C230="","",I210)</x:f>
      </x:c>
      <x:c r="E230" s="88" t="str">
        <x:f>IF(C230="","",ROUND(D230*$P$19/12,2))</x:f>
      </x:c>
      <x:c r="F230" s="88" t="str">
        <x:f>IF(C230="","",MIN(D230+E230,$Q$19))</x:f>
      </x:c>
      <x:c r="G230" s="88" t="str">
        <x:f>IF(C230="","",MIN(MAX(0,D230+E230-F230),SUMIFS(SONDERZAHLUNGEN!$E$9:$E$128,SONDERZAHLUNGEN!$B$9:$B$128,C230,SONDERZAHLUNGEN!$C$9:$C$128,A230,SONDERZAHLUNGEN!$H$9:$H$128,"OK",SONDERZAHLUNGEN!$F$9:$F$128,"Ja")))</x:f>
      </x:c>
      <x:c r="H230" s="88" t="str">
        <x:f>IF(C230="","",MIN(MAX(0,D230+E230-F230-G230),MAX(0,IF(MONATSBUDGET!$C$18="",0,MONATSBUDGET!$C$18)-SUM(F220:F239)-SUM(H220:H229))))</x:f>
      </x:c>
      <x:c r="I230" s="88" t="str">
        <x:f>IF(C230="","",MAX(0,ROUND(D230+E230-F230-G230-H230,2)))</x:f>
      </x:c>
      <x:c r="J230" s="88" t="str">
        <x:f>IF(C230="","",F230+G230+H230)</x:f>
      </x:c>
      <x:c r="K230" s="88" t="str">
        <x:f>IF(C230="","",MAX(0,SUMIFS(SONDERZAHLUNGEN!$E$9:$E$128,SONDERZAHLUNGEN!$B$9:$B$128,C230,SONDERZAHLUNGEN!$C$9:$C$128,A230,SONDERZAHLUNGEN!$H$9:$H$128,"OK",SONDERZAHLUNGEN!$F$9:$F$128,"Ja")-G230))</x:f>
      </x:c>
    </x:row>
    <x:row r="231" ht="19" customHeight="1">
      <x:c r="A231" s="90" t="n">
        <x:f>MONATSBUDGET!$A$18</x:f>
        <x:v>46539</x:v>
      </x:c>
      <x:c r="B231" t="n">
        <x:f>12</x:f>
        <x:v>12</x:v>
      </x:c>
      <x:c r="C231" t="str">
        <x:f>IF($N$20="","",$N$20)</x:f>
      </x:c>
      <x:c r="D231" s="88" t="str">
        <x:f>IF(C231="","",I211)</x:f>
      </x:c>
      <x:c r="E231" s="88" t="str">
        <x:f>IF(C231="","",ROUND(D231*$P$20/12,2))</x:f>
      </x:c>
      <x:c r="F231" s="88" t="str">
        <x:f>IF(C231="","",MIN(D231+E231,$Q$20))</x:f>
      </x:c>
      <x:c r="G231" s="88" t="str">
        <x:f>IF(C231="","",MIN(MAX(0,D231+E231-F231),SUMIFS(SONDERZAHLUNGEN!$E$9:$E$128,SONDERZAHLUNGEN!$B$9:$B$128,C231,SONDERZAHLUNGEN!$C$9:$C$128,A231,SONDERZAHLUNGEN!$H$9:$H$128,"OK",SONDERZAHLUNGEN!$F$9:$F$128,"Ja")))</x:f>
      </x:c>
      <x:c r="H231" s="88" t="str">
        <x:f>IF(C231="","",MIN(MAX(0,D231+E231-F231-G231),MAX(0,IF(MONATSBUDGET!$C$18="",0,MONATSBUDGET!$C$18)-SUM(F220:F239)-SUM(H220:H230))))</x:f>
      </x:c>
      <x:c r="I231" s="88" t="str">
        <x:f>IF(C231="","",MAX(0,ROUND(D231+E231-F231-G231-H231,2)))</x:f>
      </x:c>
      <x:c r="J231" s="88" t="str">
        <x:f>IF(C231="","",F231+G231+H231)</x:f>
      </x:c>
      <x:c r="K231" s="88" t="str">
        <x:f>IF(C231="","",MAX(0,SUMIFS(SONDERZAHLUNGEN!$E$9:$E$128,SONDERZAHLUNGEN!$B$9:$B$128,C231,SONDERZAHLUNGEN!$C$9:$C$128,A231,SONDERZAHLUNGEN!$H$9:$H$128,"OK",SONDERZAHLUNGEN!$F$9:$F$128,"Ja")-G231))</x:f>
      </x:c>
    </x:row>
    <x:row r="232" ht="19" customHeight="1">
      <x:c r="A232" s="90" t="n">
        <x:f>MONATSBUDGET!$A$18</x:f>
        <x:v>46539</x:v>
      </x:c>
      <x:c r="B232" t="n">
        <x:f>13</x:f>
        <x:v>13</x:v>
      </x:c>
      <x:c r="C232" t="str">
        <x:f>IF($N$21="","",$N$21)</x:f>
      </x:c>
      <x:c r="D232" s="88" t="str">
        <x:f>IF(C232="","",I212)</x:f>
      </x:c>
      <x:c r="E232" s="88" t="str">
        <x:f>IF(C232="","",ROUND(D232*$P$21/12,2))</x:f>
      </x:c>
      <x:c r="F232" s="88" t="str">
        <x:f>IF(C232="","",MIN(D232+E232,$Q$21))</x:f>
      </x:c>
      <x:c r="G232" s="88" t="str">
        <x:f>IF(C232="","",MIN(MAX(0,D232+E232-F232),SUMIFS(SONDERZAHLUNGEN!$E$9:$E$128,SONDERZAHLUNGEN!$B$9:$B$128,C232,SONDERZAHLUNGEN!$C$9:$C$128,A232,SONDERZAHLUNGEN!$H$9:$H$128,"OK",SONDERZAHLUNGEN!$F$9:$F$128,"Ja")))</x:f>
      </x:c>
      <x:c r="H232" s="88" t="str">
        <x:f>IF(C232="","",MIN(MAX(0,D232+E232-F232-G232),MAX(0,IF(MONATSBUDGET!$C$18="",0,MONATSBUDGET!$C$18)-SUM(F220:F239)-SUM(H220:H231))))</x:f>
      </x:c>
      <x:c r="I232" s="88" t="str">
        <x:f>IF(C232="","",MAX(0,ROUND(D232+E232-F232-G232-H232,2)))</x:f>
      </x:c>
      <x:c r="J232" s="88" t="str">
        <x:f>IF(C232="","",F232+G232+H232)</x:f>
      </x:c>
      <x:c r="K232" s="88" t="str">
        <x:f>IF(C232="","",MAX(0,SUMIFS(SONDERZAHLUNGEN!$E$9:$E$128,SONDERZAHLUNGEN!$B$9:$B$128,C232,SONDERZAHLUNGEN!$C$9:$C$128,A232,SONDERZAHLUNGEN!$H$9:$H$128,"OK",SONDERZAHLUNGEN!$F$9:$F$128,"Ja")-G232))</x:f>
      </x:c>
    </x:row>
    <x:row r="233" ht="19" customHeight="1">
      <x:c r="A233" s="90" t="n">
        <x:f>MONATSBUDGET!$A$18</x:f>
        <x:v>46539</x:v>
      </x:c>
      <x:c r="B233" t="n">
        <x:f>14</x:f>
        <x:v>14</x:v>
      </x:c>
      <x:c r="C233" t="str">
        <x:f>IF($N$22="","",$N$22)</x:f>
      </x:c>
      <x:c r="D233" s="88" t="str">
        <x:f>IF(C233="","",I213)</x:f>
      </x:c>
      <x:c r="E233" s="88" t="str">
        <x:f>IF(C233="","",ROUND(D233*$P$22/12,2))</x:f>
      </x:c>
      <x:c r="F233" s="88" t="str">
        <x:f>IF(C233="","",MIN(D233+E233,$Q$22))</x:f>
      </x:c>
      <x:c r="G233" s="88" t="str">
        <x:f>IF(C233="","",MIN(MAX(0,D233+E233-F233),SUMIFS(SONDERZAHLUNGEN!$E$9:$E$128,SONDERZAHLUNGEN!$B$9:$B$128,C233,SONDERZAHLUNGEN!$C$9:$C$128,A233,SONDERZAHLUNGEN!$H$9:$H$128,"OK",SONDERZAHLUNGEN!$F$9:$F$128,"Ja")))</x:f>
      </x:c>
      <x:c r="H233" s="88" t="str">
        <x:f>IF(C233="","",MIN(MAX(0,D233+E233-F233-G233),MAX(0,IF(MONATSBUDGET!$C$18="",0,MONATSBUDGET!$C$18)-SUM(F220:F239)-SUM(H220:H232))))</x:f>
      </x:c>
      <x:c r="I233" s="88" t="str">
        <x:f>IF(C233="","",MAX(0,ROUND(D233+E233-F233-G233-H233,2)))</x:f>
      </x:c>
      <x:c r="J233" s="88" t="str">
        <x:f>IF(C233="","",F233+G233+H233)</x:f>
      </x:c>
      <x:c r="K233" s="88" t="str">
        <x:f>IF(C233="","",MAX(0,SUMIFS(SONDERZAHLUNGEN!$E$9:$E$128,SONDERZAHLUNGEN!$B$9:$B$128,C233,SONDERZAHLUNGEN!$C$9:$C$128,A233,SONDERZAHLUNGEN!$H$9:$H$128,"OK",SONDERZAHLUNGEN!$F$9:$F$128,"Ja")-G233))</x:f>
      </x:c>
    </x:row>
    <x:row r="234" ht="19" customHeight="1">
      <x:c r="A234" s="90" t="n">
        <x:f>MONATSBUDGET!$A$18</x:f>
        <x:v>46539</x:v>
      </x:c>
      <x:c r="B234" t="n">
        <x:f>15</x:f>
        <x:v>15</x:v>
      </x:c>
      <x:c r="C234" t="str">
        <x:f>IF($N$23="","",$N$23)</x:f>
      </x:c>
      <x:c r="D234" s="88" t="str">
        <x:f>IF(C234="","",I214)</x:f>
      </x:c>
      <x:c r="E234" s="88" t="str">
        <x:f>IF(C234="","",ROUND(D234*$P$23/12,2))</x:f>
      </x:c>
      <x:c r="F234" s="88" t="str">
        <x:f>IF(C234="","",MIN(D234+E234,$Q$23))</x:f>
      </x:c>
      <x:c r="G234" s="88" t="str">
        <x:f>IF(C234="","",MIN(MAX(0,D234+E234-F234),SUMIFS(SONDERZAHLUNGEN!$E$9:$E$128,SONDERZAHLUNGEN!$B$9:$B$128,C234,SONDERZAHLUNGEN!$C$9:$C$128,A234,SONDERZAHLUNGEN!$H$9:$H$128,"OK",SONDERZAHLUNGEN!$F$9:$F$128,"Ja")))</x:f>
      </x:c>
      <x:c r="H234" s="88" t="str">
        <x:f>IF(C234="","",MIN(MAX(0,D234+E234-F234-G234),MAX(0,IF(MONATSBUDGET!$C$18="",0,MONATSBUDGET!$C$18)-SUM(F220:F239)-SUM(H220:H233))))</x:f>
      </x:c>
      <x:c r="I234" s="88" t="str">
        <x:f>IF(C234="","",MAX(0,ROUND(D234+E234-F234-G234-H234,2)))</x:f>
      </x:c>
      <x:c r="J234" s="88" t="str">
        <x:f>IF(C234="","",F234+G234+H234)</x:f>
      </x:c>
      <x:c r="K234" s="88" t="str">
        <x:f>IF(C234="","",MAX(0,SUMIFS(SONDERZAHLUNGEN!$E$9:$E$128,SONDERZAHLUNGEN!$B$9:$B$128,C234,SONDERZAHLUNGEN!$C$9:$C$128,A234,SONDERZAHLUNGEN!$H$9:$H$128,"OK",SONDERZAHLUNGEN!$F$9:$F$128,"Ja")-G234))</x:f>
      </x:c>
    </x:row>
    <x:row r="235" ht="19" customHeight="1">
      <x:c r="A235" s="90" t="n">
        <x:f>MONATSBUDGET!$A$18</x:f>
        <x:v>46539</x:v>
      </x:c>
      <x:c r="B235" t="n">
        <x:f>16</x:f>
        <x:v>16</x:v>
      </x:c>
      <x:c r="C235" t="str">
        <x:f>IF($N$24="","",$N$24)</x:f>
      </x:c>
      <x:c r="D235" s="88" t="str">
        <x:f>IF(C235="","",I215)</x:f>
      </x:c>
      <x:c r="E235" s="88" t="str">
        <x:f>IF(C235="","",ROUND(D235*$P$24/12,2))</x:f>
      </x:c>
      <x:c r="F235" s="88" t="str">
        <x:f>IF(C235="","",MIN(D235+E235,$Q$24))</x:f>
      </x:c>
      <x:c r="G235" s="88" t="str">
        <x:f>IF(C235="","",MIN(MAX(0,D235+E235-F235),SUMIFS(SONDERZAHLUNGEN!$E$9:$E$128,SONDERZAHLUNGEN!$B$9:$B$128,C235,SONDERZAHLUNGEN!$C$9:$C$128,A235,SONDERZAHLUNGEN!$H$9:$H$128,"OK",SONDERZAHLUNGEN!$F$9:$F$128,"Ja")))</x:f>
      </x:c>
      <x:c r="H235" s="88" t="str">
        <x:f>IF(C235="","",MIN(MAX(0,D235+E235-F235-G235),MAX(0,IF(MONATSBUDGET!$C$18="",0,MONATSBUDGET!$C$18)-SUM(F220:F239)-SUM(H220:H234))))</x:f>
      </x:c>
      <x:c r="I235" s="88" t="str">
        <x:f>IF(C235="","",MAX(0,ROUND(D235+E235-F235-G235-H235,2)))</x:f>
      </x:c>
      <x:c r="J235" s="88" t="str">
        <x:f>IF(C235="","",F235+G235+H235)</x:f>
      </x:c>
      <x:c r="K235" s="88" t="str">
        <x:f>IF(C235="","",MAX(0,SUMIFS(SONDERZAHLUNGEN!$E$9:$E$128,SONDERZAHLUNGEN!$B$9:$B$128,C235,SONDERZAHLUNGEN!$C$9:$C$128,A235,SONDERZAHLUNGEN!$H$9:$H$128,"OK",SONDERZAHLUNGEN!$F$9:$F$128,"Ja")-G235))</x:f>
      </x:c>
    </x:row>
    <x:row r="236" ht="19" customHeight="1">
      <x:c r="A236" s="90" t="n">
        <x:f>MONATSBUDGET!$A$18</x:f>
        <x:v>46539</x:v>
      </x:c>
      <x:c r="B236" t="n">
        <x:f>17</x:f>
        <x:v>17</x:v>
      </x:c>
      <x:c r="C236" t="str">
        <x:f>IF($N$25="","",$N$25)</x:f>
      </x:c>
      <x:c r="D236" s="88" t="str">
        <x:f>IF(C236="","",I216)</x:f>
      </x:c>
      <x:c r="E236" s="88" t="str">
        <x:f>IF(C236="","",ROUND(D236*$P$25/12,2))</x:f>
      </x:c>
      <x:c r="F236" s="88" t="str">
        <x:f>IF(C236="","",MIN(D236+E236,$Q$25))</x:f>
      </x:c>
      <x:c r="G236" s="88" t="str">
        <x:f>IF(C236="","",MIN(MAX(0,D236+E236-F236),SUMIFS(SONDERZAHLUNGEN!$E$9:$E$128,SONDERZAHLUNGEN!$B$9:$B$128,C236,SONDERZAHLUNGEN!$C$9:$C$128,A236,SONDERZAHLUNGEN!$H$9:$H$128,"OK",SONDERZAHLUNGEN!$F$9:$F$128,"Ja")))</x:f>
      </x:c>
      <x:c r="H236" s="88" t="str">
        <x:f>IF(C236="","",MIN(MAX(0,D236+E236-F236-G236),MAX(0,IF(MONATSBUDGET!$C$18="",0,MONATSBUDGET!$C$18)-SUM(F220:F239)-SUM(H220:H235))))</x:f>
      </x:c>
      <x:c r="I236" s="88" t="str">
        <x:f>IF(C236="","",MAX(0,ROUND(D236+E236-F236-G236-H236,2)))</x:f>
      </x:c>
      <x:c r="J236" s="88" t="str">
        <x:f>IF(C236="","",F236+G236+H236)</x:f>
      </x:c>
      <x:c r="K236" s="88" t="str">
        <x:f>IF(C236="","",MAX(0,SUMIFS(SONDERZAHLUNGEN!$E$9:$E$128,SONDERZAHLUNGEN!$B$9:$B$128,C236,SONDERZAHLUNGEN!$C$9:$C$128,A236,SONDERZAHLUNGEN!$H$9:$H$128,"OK",SONDERZAHLUNGEN!$F$9:$F$128,"Ja")-G236))</x:f>
      </x:c>
    </x:row>
    <x:row r="237" ht="19" customHeight="1">
      <x:c r="A237" s="90" t="n">
        <x:f>MONATSBUDGET!$A$18</x:f>
        <x:v>46539</x:v>
      </x:c>
      <x:c r="B237" t="n">
        <x:f>18</x:f>
        <x:v>18</x:v>
      </x:c>
      <x:c r="C237" t="str">
        <x:f>IF($N$26="","",$N$26)</x:f>
      </x:c>
      <x:c r="D237" s="88" t="str">
        <x:f>IF(C237="","",I217)</x:f>
      </x:c>
      <x:c r="E237" s="88" t="str">
        <x:f>IF(C237="","",ROUND(D237*$P$26/12,2))</x:f>
      </x:c>
      <x:c r="F237" s="88" t="str">
        <x:f>IF(C237="","",MIN(D237+E237,$Q$26))</x:f>
      </x:c>
      <x:c r="G237" s="88" t="str">
        <x:f>IF(C237="","",MIN(MAX(0,D237+E237-F237),SUMIFS(SONDERZAHLUNGEN!$E$9:$E$128,SONDERZAHLUNGEN!$B$9:$B$128,C237,SONDERZAHLUNGEN!$C$9:$C$128,A237,SONDERZAHLUNGEN!$H$9:$H$128,"OK",SONDERZAHLUNGEN!$F$9:$F$128,"Ja")))</x:f>
      </x:c>
      <x:c r="H237" s="88" t="str">
        <x:f>IF(C237="","",MIN(MAX(0,D237+E237-F237-G237),MAX(0,IF(MONATSBUDGET!$C$18="",0,MONATSBUDGET!$C$18)-SUM(F220:F239)-SUM(H220:H236))))</x:f>
      </x:c>
      <x:c r="I237" s="88" t="str">
        <x:f>IF(C237="","",MAX(0,ROUND(D237+E237-F237-G237-H237,2)))</x:f>
      </x:c>
      <x:c r="J237" s="88" t="str">
        <x:f>IF(C237="","",F237+G237+H237)</x:f>
      </x:c>
      <x:c r="K237" s="88" t="str">
        <x:f>IF(C237="","",MAX(0,SUMIFS(SONDERZAHLUNGEN!$E$9:$E$128,SONDERZAHLUNGEN!$B$9:$B$128,C237,SONDERZAHLUNGEN!$C$9:$C$128,A237,SONDERZAHLUNGEN!$H$9:$H$128,"OK",SONDERZAHLUNGEN!$F$9:$F$128,"Ja")-G237))</x:f>
      </x:c>
    </x:row>
    <x:row r="238" ht="19" customHeight="1">
      <x:c r="A238" s="90" t="n">
        <x:f>MONATSBUDGET!$A$18</x:f>
        <x:v>46539</x:v>
      </x:c>
      <x:c r="B238" t="n">
        <x:f>19</x:f>
        <x:v>19</x:v>
      </x:c>
      <x:c r="C238" t="str">
        <x:f>IF($N$27="","",$N$27)</x:f>
      </x:c>
      <x:c r="D238" s="88" t="str">
        <x:f>IF(C238="","",I218)</x:f>
      </x:c>
      <x:c r="E238" s="88" t="str">
        <x:f>IF(C238="","",ROUND(D238*$P$27/12,2))</x:f>
      </x:c>
      <x:c r="F238" s="88" t="str">
        <x:f>IF(C238="","",MIN(D238+E238,$Q$27))</x:f>
      </x:c>
      <x:c r="G238" s="88" t="str">
        <x:f>IF(C238="","",MIN(MAX(0,D238+E238-F238),SUMIFS(SONDERZAHLUNGEN!$E$9:$E$128,SONDERZAHLUNGEN!$B$9:$B$128,C238,SONDERZAHLUNGEN!$C$9:$C$128,A238,SONDERZAHLUNGEN!$H$9:$H$128,"OK",SONDERZAHLUNGEN!$F$9:$F$128,"Ja")))</x:f>
      </x:c>
      <x:c r="H238" s="88" t="str">
        <x:f>IF(C238="","",MIN(MAX(0,D238+E238-F238-G238),MAX(0,IF(MONATSBUDGET!$C$18="",0,MONATSBUDGET!$C$18)-SUM(F220:F239)-SUM(H220:H237))))</x:f>
      </x:c>
      <x:c r="I238" s="88" t="str">
        <x:f>IF(C238="","",MAX(0,ROUND(D238+E238-F238-G238-H238,2)))</x:f>
      </x:c>
      <x:c r="J238" s="88" t="str">
        <x:f>IF(C238="","",F238+G238+H238)</x:f>
      </x:c>
      <x:c r="K238" s="88" t="str">
        <x:f>IF(C238="","",MAX(0,SUMIFS(SONDERZAHLUNGEN!$E$9:$E$128,SONDERZAHLUNGEN!$B$9:$B$128,C238,SONDERZAHLUNGEN!$C$9:$C$128,A238,SONDERZAHLUNGEN!$H$9:$H$128,"OK",SONDERZAHLUNGEN!$F$9:$F$128,"Ja")-G238))</x:f>
      </x:c>
    </x:row>
    <x:row r="239" ht="19" customHeight="1">
      <x:c r="A239" s="90" t="n">
        <x:f>MONATSBUDGET!$A$18</x:f>
        <x:v>46539</x:v>
      </x:c>
      <x:c r="B239" t="n">
        <x:f>20</x:f>
        <x:v>20</x:v>
      </x:c>
      <x:c r="C239" t="str">
        <x:f>IF($N$28="","",$N$28)</x:f>
      </x:c>
      <x:c r="D239" s="88" t="str">
        <x:f>IF(C239="","",I219)</x:f>
      </x:c>
      <x:c r="E239" s="88" t="str">
        <x:f>IF(C239="","",ROUND(D239*$P$28/12,2))</x:f>
      </x:c>
      <x:c r="F239" s="88" t="str">
        <x:f>IF(C239="","",MIN(D239+E239,$Q$28))</x:f>
      </x:c>
      <x:c r="G239" s="88" t="str">
        <x:f>IF(C239="","",MIN(MAX(0,D239+E239-F239),SUMIFS(SONDERZAHLUNGEN!$E$9:$E$128,SONDERZAHLUNGEN!$B$9:$B$128,C239,SONDERZAHLUNGEN!$C$9:$C$128,A239,SONDERZAHLUNGEN!$H$9:$H$128,"OK",SONDERZAHLUNGEN!$F$9:$F$128,"Ja")))</x:f>
      </x:c>
      <x:c r="H239" s="88" t="str">
        <x:f>IF(C239="","",MIN(MAX(0,D239+E239-F239-G239),MAX(0,IF(MONATSBUDGET!$C$18="",0,MONATSBUDGET!$C$18)-SUM(F220:F239)-SUM(H220:H238))))</x:f>
      </x:c>
      <x:c r="I239" s="88" t="str">
        <x:f>IF(C239="","",MAX(0,ROUND(D239+E239-F239-G239-H239,2)))</x:f>
      </x:c>
      <x:c r="J239" s="88" t="str">
        <x:f>IF(C239="","",F239+G239+H239)</x:f>
      </x:c>
      <x:c r="K239" s="88" t="str">
        <x:f>IF(C239="","",MAX(0,SUMIFS(SONDERZAHLUNGEN!$E$9:$E$128,SONDERZAHLUNGEN!$B$9:$B$128,C239,SONDERZAHLUNGEN!$C$9:$C$128,A239,SONDERZAHLUNGEN!$H$9:$H$128,"OK",SONDERZAHLUNGEN!$F$9:$F$128,"Ja")-G239))</x:f>
      </x:c>
    </x:row>
    <x:row r="240" ht="19" customHeight="1">
      <x:c r="A240" s="90" t="n">
        <x:f>MONATSBUDGET!$A$19</x:f>
        <x:v>46569</x:v>
      </x:c>
      <x:c r="B240" t="n">
        <x:f>1</x:f>
        <x:v>1</x:v>
      </x:c>
      <x:c r="C240" t="str">
        <x:f>IF($N$9="","",$N$9)</x:f>
      </x:c>
      <x:c r="D240" s="88" t="str">
        <x:f>IF(C240="","",I220)</x:f>
      </x:c>
      <x:c r="E240" s="88" t="str">
        <x:f>IF(C240="","",ROUND(D240*$P$9/12,2))</x:f>
      </x:c>
      <x:c r="F240" s="88" t="str">
        <x:f>IF(C240="","",MIN(D240+E240,$Q$9))</x:f>
      </x:c>
      <x:c r="G240" s="88" t="str">
        <x:f>IF(C240="","",MIN(MAX(0,D240+E240-F240),SUMIFS(SONDERZAHLUNGEN!$E$9:$E$128,SONDERZAHLUNGEN!$B$9:$B$128,C240,SONDERZAHLUNGEN!$C$9:$C$128,A240,SONDERZAHLUNGEN!$H$9:$H$128,"OK",SONDERZAHLUNGEN!$F$9:$F$128,"Ja")))</x:f>
      </x:c>
      <x:c r="H240" s="88" t="str">
        <x:f>IF(C240="","",MIN(MAX(0,D240+E240-F240-G240),MAX(0,IF(MONATSBUDGET!$C$19="",0,MONATSBUDGET!$C$19)-SUM(F240:F259)-0)))</x:f>
      </x:c>
      <x:c r="I240" s="88" t="str">
        <x:f>IF(C240="","",MAX(0,ROUND(D240+E240-F240-G240-H240,2)))</x:f>
      </x:c>
      <x:c r="J240" s="88" t="str">
        <x:f>IF(C240="","",F240+G240+H240)</x:f>
      </x:c>
      <x:c r="K240" s="88" t="str">
        <x:f>IF(C240="","",MAX(0,SUMIFS(SONDERZAHLUNGEN!$E$9:$E$128,SONDERZAHLUNGEN!$B$9:$B$128,C240,SONDERZAHLUNGEN!$C$9:$C$128,A240,SONDERZAHLUNGEN!$H$9:$H$128,"OK",SONDERZAHLUNGEN!$F$9:$F$128,"Ja")-G240))</x:f>
      </x:c>
    </x:row>
    <x:row r="241" ht="19" customHeight="1">
      <x:c r="A241" s="90" t="n">
        <x:f>MONATSBUDGET!$A$19</x:f>
        <x:v>46569</x:v>
      </x:c>
      <x:c r="B241" t="n">
        <x:f>2</x:f>
        <x:v>2</x:v>
      </x:c>
      <x:c r="C241" t="str">
        <x:f>IF($N$10="","",$N$10)</x:f>
      </x:c>
      <x:c r="D241" s="88" t="str">
        <x:f>IF(C241="","",I221)</x:f>
      </x:c>
      <x:c r="E241" s="88" t="str">
        <x:f>IF(C241="","",ROUND(D241*$P$10/12,2))</x:f>
      </x:c>
      <x:c r="F241" s="88" t="str">
        <x:f>IF(C241="","",MIN(D241+E241,$Q$10))</x:f>
      </x:c>
      <x:c r="G241" s="88" t="str">
        <x:f>IF(C241="","",MIN(MAX(0,D241+E241-F241),SUMIFS(SONDERZAHLUNGEN!$E$9:$E$128,SONDERZAHLUNGEN!$B$9:$B$128,C241,SONDERZAHLUNGEN!$C$9:$C$128,A241,SONDERZAHLUNGEN!$H$9:$H$128,"OK",SONDERZAHLUNGEN!$F$9:$F$128,"Ja")))</x:f>
      </x:c>
      <x:c r="H241" s="88" t="str">
        <x:f>IF(C241="","",MIN(MAX(0,D241+E241-F241-G241),MAX(0,IF(MONATSBUDGET!$C$19="",0,MONATSBUDGET!$C$19)-SUM(F240:F259)-SUM(H240:H240))))</x:f>
      </x:c>
      <x:c r="I241" s="88" t="str">
        <x:f>IF(C241="","",MAX(0,ROUND(D241+E241-F241-G241-H241,2)))</x:f>
      </x:c>
      <x:c r="J241" s="88" t="str">
        <x:f>IF(C241="","",F241+G241+H241)</x:f>
      </x:c>
      <x:c r="K241" s="88" t="str">
        <x:f>IF(C241="","",MAX(0,SUMIFS(SONDERZAHLUNGEN!$E$9:$E$128,SONDERZAHLUNGEN!$B$9:$B$128,C241,SONDERZAHLUNGEN!$C$9:$C$128,A241,SONDERZAHLUNGEN!$H$9:$H$128,"OK",SONDERZAHLUNGEN!$F$9:$F$128,"Ja")-G241))</x:f>
      </x:c>
    </x:row>
    <x:row r="242" ht="19" customHeight="1">
      <x:c r="A242" s="90" t="n">
        <x:f>MONATSBUDGET!$A$19</x:f>
        <x:v>46569</x:v>
      </x:c>
      <x:c r="B242" t="n">
        <x:f>3</x:f>
        <x:v>3</x:v>
      </x:c>
      <x:c r="C242" t="str">
        <x:f>IF($N$11="","",$N$11)</x:f>
      </x:c>
      <x:c r="D242" s="88" t="str">
        <x:f>IF(C242="","",I222)</x:f>
      </x:c>
      <x:c r="E242" s="88" t="str">
        <x:f>IF(C242="","",ROUND(D242*$P$11/12,2))</x:f>
      </x:c>
      <x:c r="F242" s="88" t="str">
        <x:f>IF(C242="","",MIN(D242+E242,$Q$11))</x:f>
      </x:c>
      <x:c r="G242" s="88" t="str">
        <x:f>IF(C242="","",MIN(MAX(0,D242+E242-F242),SUMIFS(SONDERZAHLUNGEN!$E$9:$E$128,SONDERZAHLUNGEN!$B$9:$B$128,C242,SONDERZAHLUNGEN!$C$9:$C$128,A242,SONDERZAHLUNGEN!$H$9:$H$128,"OK",SONDERZAHLUNGEN!$F$9:$F$128,"Ja")))</x:f>
      </x:c>
      <x:c r="H242" s="88" t="str">
        <x:f>IF(C242="","",MIN(MAX(0,D242+E242-F242-G242),MAX(0,IF(MONATSBUDGET!$C$19="",0,MONATSBUDGET!$C$19)-SUM(F240:F259)-SUM(H240:H241))))</x:f>
      </x:c>
      <x:c r="I242" s="88" t="str">
        <x:f>IF(C242="","",MAX(0,ROUND(D242+E242-F242-G242-H242,2)))</x:f>
      </x:c>
      <x:c r="J242" s="88" t="str">
        <x:f>IF(C242="","",F242+G242+H242)</x:f>
      </x:c>
      <x:c r="K242" s="88" t="str">
        <x:f>IF(C242="","",MAX(0,SUMIFS(SONDERZAHLUNGEN!$E$9:$E$128,SONDERZAHLUNGEN!$B$9:$B$128,C242,SONDERZAHLUNGEN!$C$9:$C$128,A242,SONDERZAHLUNGEN!$H$9:$H$128,"OK",SONDERZAHLUNGEN!$F$9:$F$128,"Ja")-G242))</x:f>
      </x:c>
    </x:row>
    <x:row r="243" ht="19" customHeight="1">
      <x:c r="A243" s="90" t="n">
        <x:f>MONATSBUDGET!$A$19</x:f>
        <x:v>46569</x:v>
      </x:c>
      <x:c r="B243" t="n">
        <x:f>4</x:f>
        <x:v>4</x:v>
      </x:c>
      <x:c r="C243" t="str">
        <x:f>IF($N$12="","",$N$12)</x:f>
      </x:c>
      <x:c r="D243" s="88" t="str">
        <x:f>IF(C243="","",I223)</x:f>
      </x:c>
      <x:c r="E243" s="88" t="str">
        <x:f>IF(C243="","",ROUND(D243*$P$12/12,2))</x:f>
      </x:c>
      <x:c r="F243" s="88" t="str">
        <x:f>IF(C243="","",MIN(D243+E243,$Q$12))</x:f>
      </x:c>
      <x:c r="G243" s="88" t="str">
        <x:f>IF(C243="","",MIN(MAX(0,D243+E243-F243),SUMIFS(SONDERZAHLUNGEN!$E$9:$E$128,SONDERZAHLUNGEN!$B$9:$B$128,C243,SONDERZAHLUNGEN!$C$9:$C$128,A243,SONDERZAHLUNGEN!$H$9:$H$128,"OK",SONDERZAHLUNGEN!$F$9:$F$128,"Ja")))</x:f>
      </x:c>
      <x:c r="H243" s="88" t="str">
        <x:f>IF(C243="","",MIN(MAX(0,D243+E243-F243-G243),MAX(0,IF(MONATSBUDGET!$C$19="",0,MONATSBUDGET!$C$19)-SUM(F240:F259)-SUM(H240:H242))))</x:f>
      </x:c>
      <x:c r="I243" s="88" t="str">
        <x:f>IF(C243="","",MAX(0,ROUND(D243+E243-F243-G243-H243,2)))</x:f>
      </x:c>
      <x:c r="J243" s="88" t="str">
        <x:f>IF(C243="","",F243+G243+H243)</x:f>
      </x:c>
      <x:c r="K243" s="88" t="str">
        <x:f>IF(C243="","",MAX(0,SUMIFS(SONDERZAHLUNGEN!$E$9:$E$128,SONDERZAHLUNGEN!$B$9:$B$128,C243,SONDERZAHLUNGEN!$C$9:$C$128,A243,SONDERZAHLUNGEN!$H$9:$H$128,"OK",SONDERZAHLUNGEN!$F$9:$F$128,"Ja")-G243))</x:f>
      </x:c>
    </x:row>
    <x:row r="244" ht="19" customHeight="1">
      <x:c r="A244" s="90" t="n">
        <x:f>MONATSBUDGET!$A$19</x:f>
        <x:v>46569</x:v>
      </x:c>
      <x:c r="B244" t="n">
        <x:f>5</x:f>
        <x:v>5</x:v>
      </x:c>
      <x:c r="C244" t="str">
        <x:f>IF($N$13="","",$N$13)</x:f>
      </x:c>
      <x:c r="D244" s="88" t="str">
        <x:f>IF(C244="","",I224)</x:f>
      </x:c>
      <x:c r="E244" s="88" t="str">
        <x:f>IF(C244="","",ROUND(D244*$P$13/12,2))</x:f>
      </x:c>
      <x:c r="F244" s="88" t="str">
        <x:f>IF(C244="","",MIN(D244+E244,$Q$13))</x:f>
      </x:c>
      <x:c r="G244" s="88" t="str">
        <x:f>IF(C244="","",MIN(MAX(0,D244+E244-F244),SUMIFS(SONDERZAHLUNGEN!$E$9:$E$128,SONDERZAHLUNGEN!$B$9:$B$128,C244,SONDERZAHLUNGEN!$C$9:$C$128,A244,SONDERZAHLUNGEN!$H$9:$H$128,"OK",SONDERZAHLUNGEN!$F$9:$F$128,"Ja")))</x:f>
      </x:c>
      <x:c r="H244" s="88" t="str">
        <x:f>IF(C244="","",MIN(MAX(0,D244+E244-F244-G244),MAX(0,IF(MONATSBUDGET!$C$19="",0,MONATSBUDGET!$C$19)-SUM(F240:F259)-SUM(H240:H243))))</x:f>
      </x:c>
      <x:c r="I244" s="88" t="str">
        <x:f>IF(C244="","",MAX(0,ROUND(D244+E244-F244-G244-H244,2)))</x:f>
      </x:c>
      <x:c r="J244" s="88" t="str">
        <x:f>IF(C244="","",F244+G244+H244)</x:f>
      </x:c>
      <x:c r="K244" s="88" t="str">
        <x:f>IF(C244="","",MAX(0,SUMIFS(SONDERZAHLUNGEN!$E$9:$E$128,SONDERZAHLUNGEN!$B$9:$B$128,C244,SONDERZAHLUNGEN!$C$9:$C$128,A244,SONDERZAHLUNGEN!$H$9:$H$128,"OK",SONDERZAHLUNGEN!$F$9:$F$128,"Ja")-G244))</x:f>
      </x:c>
    </x:row>
    <x:row r="245" ht="19" customHeight="1">
      <x:c r="A245" s="90" t="n">
        <x:f>MONATSBUDGET!$A$19</x:f>
        <x:v>46569</x:v>
      </x:c>
      <x:c r="B245" t="n">
        <x:f>6</x:f>
        <x:v>6</x:v>
      </x:c>
      <x:c r="C245" t="str">
        <x:f>IF($N$14="","",$N$14)</x:f>
      </x:c>
      <x:c r="D245" s="88" t="str">
        <x:f>IF(C245="","",I225)</x:f>
      </x:c>
      <x:c r="E245" s="88" t="str">
        <x:f>IF(C245="","",ROUND(D245*$P$14/12,2))</x:f>
      </x:c>
      <x:c r="F245" s="88" t="str">
        <x:f>IF(C245="","",MIN(D245+E245,$Q$14))</x:f>
      </x:c>
      <x:c r="G245" s="88" t="str">
        <x:f>IF(C245="","",MIN(MAX(0,D245+E245-F245),SUMIFS(SONDERZAHLUNGEN!$E$9:$E$128,SONDERZAHLUNGEN!$B$9:$B$128,C245,SONDERZAHLUNGEN!$C$9:$C$128,A245,SONDERZAHLUNGEN!$H$9:$H$128,"OK",SONDERZAHLUNGEN!$F$9:$F$128,"Ja")))</x:f>
      </x:c>
      <x:c r="H245" s="88" t="str">
        <x:f>IF(C245="","",MIN(MAX(0,D245+E245-F245-G245),MAX(0,IF(MONATSBUDGET!$C$19="",0,MONATSBUDGET!$C$19)-SUM(F240:F259)-SUM(H240:H244))))</x:f>
      </x:c>
      <x:c r="I245" s="88" t="str">
        <x:f>IF(C245="","",MAX(0,ROUND(D245+E245-F245-G245-H245,2)))</x:f>
      </x:c>
      <x:c r="J245" s="88" t="str">
        <x:f>IF(C245="","",F245+G245+H245)</x:f>
      </x:c>
      <x:c r="K245" s="88" t="str">
        <x:f>IF(C245="","",MAX(0,SUMIFS(SONDERZAHLUNGEN!$E$9:$E$128,SONDERZAHLUNGEN!$B$9:$B$128,C245,SONDERZAHLUNGEN!$C$9:$C$128,A245,SONDERZAHLUNGEN!$H$9:$H$128,"OK",SONDERZAHLUNGEN!$F$9:$F$128,"Ja")-G245))</x:f>
      </x:c>
    </x:row>
    <x:row r="246" ht="19" customHeight="1">
      <x:c r="A246" s="90" t="n">
        <x:f>MONATSBUDGET!$A$19</x:f>
        <x:v>46569</x:v>
      </x:c>
      <x:c r="B246" t="n">
        <x:f>7</x:f>
        <x:v>7</x:v>
      </x:c>
      <x:c r="C246" t="str">
        <x:f>IF($N$15="","",$N$15)</x:f>
      </x:c>
      <x:c r="D246" s="88" t="str">
        <x:f>IF(C246="","",I226)</x:f>
      </x:c>
      <x:c r="E246" s="88" t="str">
        <x:f>IF(C246="","",ROUND(D246*$P$15/12,2))</x:f>
      </x:c>
      <x:c r="F246" s="88" t="str">
        <x:f>IF(C246="","",MIN(D246+E246,$Q$15))</x:f>
      </x:c>
      <x:c r="G246" s="88" t="str">
        <x:f>IF(C246="","",MIN(MAX(0,D246+E246-F246),SUMIFS(SONDERZAHLUNGEN!$E$9:$E$128,SONDERZAHLUNGEN!$B$9:$B$128,C246,SONDERZAHLUNGEN!$C$9:$C$128,A246,SONDERZAHLUNGEN!$H$9:$H$128,"OK",SONDERZAHLUNGEN!$F$9:$F$128,"Ja")))</x:f>
      </x:c>
      <x:c r="H246" s="88" t="str">
        <x:f>IF(C246="","",MIN(MAX(0,D246+E246-F246-G246),MAX(0,IF(MONATSBUDGET!$C$19="",0,MONATSBUDGET!$C$19)-SUM(F240:F259)-SUM(H240:H245))))</x:f>
      </x:c>
      <x:c r="I246" s="88" t="str">
        <x:f>IF(C246="","",MAX(0,ROUND(D246+E246-F246-G246-H246,2)))</x:f>
      </x:c>
      <x:c r="J246" s="88" t="str">
        <x:f>IF(C246="","",F246+G246+H246)</x:f>
      </x:c>
      <x:c r="K246" s="88" t="str">
        <x:f>IF(C246="","",MAX(0,SUMIFS(SONDERZAHLUNGEN!$E$9:$E$128,SONDERZAHLUNGEN!$B$9:$B$128,C246,SONDERZAHLUNGEN!$C$9:$C$128,A246,SONDERZAHLUNGEN!$H$9:$H$128,"OK",SONDERZAHLUNGEN!$F$9:$F$128,"Ja")-G246))</x:f>
      </x:c>
    </x:row>
    <x:row r="247" ht="19" customHeight="1">
      <x:c r="A247" s="90" t="n">
        <x:f>MONATSBUDGET!$A$19</x:f>
        <x:v>46569</x:v>
      </x:c>
      <x:c r="B247" t="n">
        <x:f>8</x:f>
        <x:v>8</x:v>
      </x:c>
      <x:c r="C247" t="str">
        <x:f>IF($N$16="","",$N$16)</x:f>
      </x:c>
      <x:c r="D247" s="88" t="str">
        <x:f>IF(C247="","",I227)</x:f>
      </x:c>
      <x:c r="E247" s="88" t="str">
        <x:f>IF(C247="","",ROUND(D247*$P$16/12,2))</x:f>
      </x:c>
      <x:c r="F247" s="88" t="str">
        <x:f>IF(C247="","",MIN(D247+E247,$Q$16))</x:f>
      </x:c>
      <x:c r="G247" s="88" t="str">
        <x:f>IF(C247="","",MIN(MAX(0,D247+E247-F247),SUMIFS(SONDERZAHLUNGEN!$E$9:$E$128,SONDERZAHLUNGEN!$B$9:$B$128,C247,SONDERZAHLUNGEN!$C$9:$C$128,A247,SONDERZAHLUNGEN!$H$9:$H$128,"OK",SONDERZAHLUNGEN!$F$9:$F$128,"Ja")))</x:f>
      </x:c>
      <x:c r="H247" s="88" t="str">
        <x:f>IF(C247="","",MIN(MAX(0,D247+E247-F247-G247),MAX(0,IF(MONATSBUDGET!$C$19="",0,MONATSBUDGET!$C$19)-SUM(F240:F259)-SUM(H240:H246))))</x:f>
      </x:c>
      <x:c r="I247" s="88" t="str">
        <x:f>IF(C247="","",MAX(0,ROUND(D247+E247-F247-G247-H247,2)))</x:f>
      </x:c>
      <x:c r="J247" s="88" t="str">
        <x:f>IF(C247="","",F247+G247+H247)</x:f>
      </x:c>
      <x:c r="K247" s="88" t="str">
        <x:f>IF(C247="","",MAX(0,SUMIFS(SONDERZAHLUNGEN!$E$9:$E$128,SONDERZAHLUNGEN!$B$9:$B$128,C247,SONDERZAHLUNGEN!$C$9:$C$128,A247,SONDERZAHLUNGEN!$H$9:$H$128,"OK",SONDERZAHLUNGEN!$F$9:$F$128,"Ja")-G247))</x:f>
      </x:c>
    </x:row>
    <x:row r="248" ht="19" customHeight="1">
      <x:c r="A248" s="90" t="n">
        <x:f>MONATSBUDGET!$A$19</x:f>
        <x:v>46569</x:v>
      </x:c>
      <x:c r="B248" t="n">
        <x:f>9</x:f>
        <x:v>9</x:v>
      </x:c>
      <x:c r="C248" t="str">
        <x:f>IF($N$17="","",$N$17)</x:f>
      </x:c>
      <x:c r="D248" s="88" t="str">
        <x:f>IF(C248="","",I228)</x:f>
      </x:c>
      <x:c r="E248" s="88" t="str">
        <x:f>IF(C248="","",ROUND(D248*$P$17/12,2))</x:f>
      </x:c>
      <x:c r="F248" s="88" t="str">
        <x:f>IF(C248="","",MIN(D248+E248,$Q$17))</x:f>
      </x:c>
      <x:c r="G248" s="88" t="str">
        <x:f>IF(C248="","",MIN(MAX(0,D248+E248-F248),SUMIFS(SONDERZAHLUNGEN!$E$9:$E$128,SONDERZAHLUNGEN!$B$9:$B$128,C248,SONDERZAHLUNGEN!$C$9:$C$128,A248,SONDERZAHLUNGEN!$H$9:$H$128,"OK",SONDERZAHLUNGEN!$F$9:$F$128,"Ja")))</x:f>
      </x:c>
      <x:c r="H248" s="88" t="str">
        <x:f>IF(C248="","",MIN(MAX(0,D248+E248-F248-G248),MAX(0,IF(MONATSBUDGET!$C$19="",0,MONATSBUDGET!$C$19)-SUM(F240:F259)-SUM(H240:H247))))</x:f>
      </x:c>
      <x:c r="I248" s="88" t="str">
        <x:f>IF(C248="","",MAX(0,ROUND(D248+E248-F248-G248-H248,2)))</x:f>
      </x:c>
      <x:c r="J248" s="88" t="str">
        <x:f>IF(C248="","",F248+G248+H248)</x:f>
      </x:c>
      <x:c r="K248" s="88" t="str">
        <x:f>IF(C248="","",MAX(0,SUMIFS(SONDERZAHLUNGEN!$E$9:$E$128,SONDERZAHLUNGEN!$B$9:$B$128,C248,SONDERZAHLUNGEN!$C$9:$C$128,A248,SONDERZAHLUNGEN!$H$9:$H$128,"OK",SONDERZAHLUNGEN!$F$9:$F$128,"Ja")-G248))</x:f>
      </x:c>
    </x:row>
    <x:row r="249" ht="19" customHeight="1">
      <x:c r="A249" s="90" t="n">
        <x:f>MONATSBUDGET!$A$19</x:f>
        <x:v>46569</x:v>
      </x:c>
      <x:c r="B249" t="n">
        <x:f>10</x:f>
        <x:v>10</x:v>
      </x:c>
      <x:c r="C249" t="str">
        <x:f>IF($N$18="","",$N$18)</x:f>
      </x:c>
      <x:c r="D249" s="88" t="str">
        <x:f>IF(C249="","",I229)</x:f>
      </x:c>
      <x:c r="E249" s="88" t="str">
        <x:f>IF(C249="","",ROUND(D249*$P$18/12,2))</x:f>
      </x:c>
      <x:c r="F249" s="88" t="str">
        <x:f>IF(C249="","",MIN(D249+E249,$Q$18))</x:f>
      </x:c>
      <x:c r="G249" s="88" t="str">
        <x:f>IF(C249="","",MIN(MAX(0,D249+E249-F249),SUMIFS(SONDERZAHLUNGEN!$E$9:$E$128,SONDERZAHLUNGEN!$B$9:$B$128,C249,SONDERZAHLUNGEN!$C$9:$C$128,A249,SONDERZAHLUNGEN!$H$9:$H$128,"OK",SONDERZAHLUNGEN!$F$9:$F$128,"Ja")))</x:f>
      </x:c>
      <x:c r="H249" s="88" t="str">
        <x:f>IF(C249="","",MIN(MAX(0,D249+E249-F249-G249),MAX(0,IF(MONATSBUDGET!$C$19="",0,MONATSBUDGET!$C$19)-SUM(F240:F259)-SUM(H240:H248))))</x:f>
      </x:c>
      <x:c r="I249" s="88" t="str">
        <x:f>IF(C249="","",MAX(0,ROUND(D249+E249-F249-G249-H249,2)))</x:f>
      </x:c>
      <x:c r="J249" s="88" t="str">
        <x:f>IF(C249="","",F249+G249+H249)</x:f>
      </x:c>
      <x:c r="K249" s="88" t="str">
        <x:f>IF(C249="","",MAX(0,SUMIFS(SONDERZAHLUNGEN!$E$9:$E$128,SONDERZAHLUNGEN!$B$9:$B$128,C249,SONDERZAHLUNGEN!$C$9:$C$128,A249,SONDERZAHLUNGEN!$H$9:$H$128,"OK",SONDERZAHLUNGEN!$F$9:$F$128,"Ja")-G249))</x:f>
      </x:c>
    </x:row>
    <x:row r="250" ht="19" customHeight="1">
      <x:c r="A250" s="90" t="n">
        <x:f>MONATSBUDGET!$A$19</x:f>
        <x:v>46569</x:v>
      </x:c>
      <x:c r="B250" t="n">
        <x:f>11</x:f>
        <x:v>11</x:v>
      </x:c>
      <x:c r="C250" t="str">
        <x:f>IF($N$19="","",$N$19)</x:f>
      </x:c>
      <x:c r="D250" s="88" t="str">
        <x:f>IF(C250="","",I230)</x:f>
      </x:c>
      <x:c r="E250" s="88" t="str">
        <x:f>IF(C250="","",ROUND(D250*$P$19/12,2))</x:f>
      </x:c>
      <x:c r="F250" s="88" t="str">
        <x:f>IF(C250="","",MIN(D250+E250,$Q$19))</x:f>
      </x:c>
      <x:c r="G250" s="88" t="str">
        <x:f>IF(C250="","",MIN(MAX(0,D250+E250-F250),SUMIFS(SONDERZAHLUNGEN!$E$9:$E$128,SONDERZAHLUNGEN!$B$9:$B$128,C250,SONDERZAHLUNGEN!$C$9:$C$128,A250,SONDERZAHLUNGEN!$H$9:$H$128,"OK",SONDERZAHLUNGEN!$F$9:$F$128,"Ja")))</x:f>
      </x:c>
      <x:c r="H250" s="88" t="str">
        <x:f>IF(C250="","",MIN(MAX(0,D250+E250-F250-G250),MAX(0,IF(MONATSBUDGET!$C$19="",0,MONATSBUDGET!$C$19)-SUM(F240:F259)-SUM(H240:H249))))</x:f>
      </x:c>
      <x:c r="I250" s="88" t="str">
        <x:f>IF(C250="","",MAX(0,ROUND(D250+E250-F250-G250-H250,2)))</x:f>
      </x:c>
      <x:c r="J250" s="88" t="str">
        <x:f>IF(C250="","",F250+G250+H250)</x:f>
      </x:c>
      <x:c r="K250" s="88" t="str">
        <x:f>IF(C250="","",MAX(0,SUMIFS(SONDERZAHLUNGEN!$E$9:$E$128,SONDERZAHLUNGEN!$B$9:$B$128,C250,SONDERZAHLUNGEN!$C$9:$C$128,A250,SONDERZAHLUNGEN!$H$9:$H$128,"OK",SONDERZAHLUNGEN!$F$9:$F$128,"Ja")-G250))</x:f>
      </x:c>
    </x:row>
    <x:row r="251" ht="19" customHeight="1">
      <x:c r="A251" s="90" t="n">
        <x:f>MONATSBUDGET!$A$19</x:f>
        <x:v>46569</x:v>
      </x:c>
      <x:c r="B251" t="n">
        <x:f>12</x:f>
        <x:v>12</x:v>
      </x:c>
      <x:c r="C251" t="str">
        <x:f>IF($N$20="","",$N$20)</x:f>
      </x:c>
      <x:c r="D251" s="88" t="str">
        <x:f>IF(C251="","",I231)</x:f>
      </x:c>
      <x:c r="E251" s="88" t="str">
        <x:f>IF(C251="","",ROUND(D251*$P$20/12,2))</x:f>
      </x:c>
      <x:c r="F251" s="88" t="str">
        <x:f>IF(C251="","",MIN(D251+E251,$Q$20))</x:f>
      </x:c>
      <x:c r="G251" s="88" t="str">
        <x:f>IF(C251="","",MIN(MAX(0,D251+E251-F251),SUMIFS(SONDERZAHLUNGEN!$E$9:$E$128,SONDERZAHLUNGEN!$B$9:$B$128,C251,SONDERZAHLUNGEN!$C$9:$C$128,A251,SONDERZAHLUNGEN!$H$9:$H$128,"OK",SONDERZAHLUNGEN!$F$9:$F$128,"Ja")))</x:f>
      </x:c>
      <x:c r="H251" s="88" t="str">
        <x:f>IF(C251="","",MIN(MAX(0,D251+E251-F251-G251),MAX(0,IF(MONATSBUDGET!$C$19="",0,MONATSBUDGET!$C$19)-SUM(F240:F259)-SUM(H240:H250))))</x:f>
      </x:c>
      <x:c r="I251" s="88" t="str">
        <x:f>IF(C251="","",MAX(0,ROUND(D251+E251-F251-G251-H251,2)))</x:f>
      </x:c>
      <x:c r="J251" s="88" t="str">
        <x:f>IF(C251="","",F251+G251+H251)</x:f>
      </x:c>
      <x:c r="K251" s="88" t="str">
        <x:f>IF(C251="","",MAX(0,SUMIFS(SONDERZAHLUNGEN!$E$9:$E$128,SONDERZAHLUNGEN!$B$9:$B$128,C251,SONDERZAHLUNGEN!$C$9:$C$128,A251,SONDERZAHLUNGEN!$H$9:$H$128,"OK",SONDERZAHLUNGEN!$F$9:$F$128,"Ja")-G251))</x:f>
      </x:c>
    </x:row>
    <x:row r="252" ht="19" customHeight="1">
      <x:c r="A252" s="90" t="n">
        <x:f>MONATSBUDGET!$A$19</x:f>
        <x:v>46569</x:v>
      </x:c>
      <x:c r="B252" t="n">
        <x:f>13</x:f>
        <x:v>13</x:v>
      </x:c>
      <x:c r="C252" t="str">
        <x:f>IF($N$21="","",$N$21)</x:f>
      </x:c>
      <x:c r="D252" s="88" t="str">
        <x:f>IF(C252="","",I232)</x:f>
      </x:c>
      <x:c r="E252" s="88" t="str">
        <x:f>IF(C252="","",ROUND(D252*$P$21/12,2))</x:f>
      </x:c>
      <x:c r="F252" s="88" t="str">
        <x:f>IF(C252="","",MIN(D252+E252,$Q$21))</x:f>
      </x:c>
      <x:c r="G252" s="88" t="str">
        <x:f>IF(C252="","",MIN(MAX(0,D252+E252-F252),SUMIFS(SONDERZAHLUNGEN!$E$9:$E$128,SONDERZAHLUNGEN!$B$9:$B$128,C252,SONDERZAHLUNGEN!$C$9:$C$128,A252,SONDERZAHLUNGEN!$H$9:$H$128,"OK",SONDERZAHLUNGEN!$F$9:$F$128,"Ja")))</x:f>
      </x:c>
      <x:c r="H252" s="88" t="str">
        <x:f>IF(C252="","",MIN(MAX(0,D252+E252-F252-G252),MAX(0,IF(MONATSBUDGET!$C$19="",0,MONATSBUDGET!$C$19)-SUM(F240:F259)-SUM(H240:H251))))</x:f>
      </x:c>
      <x:c r="I252" s="88" t="str">
        <x:f>IF(C252="","",MAX(0,ROUND(D252+E252-F252-G252-H252,2)))</x:f>
      </x:c>
      <x:c r="J252" s="88" t="str">
        <x:f>IF(C252="","",F252+G252+H252)</x:f>
      </x:c>
      <x:c r="K252" s="88" t="str">
        <x:f>IF(C252="","",MAX(0,SUMIFS(SONDERZAHLUNGEN!$E$9:$E$128,SONDERZAHLUNGEN!$B$9:$B$128,C252,SONDERZAHLUNGEN!$C$9:$C$128,A252,SONDERZAHLUNGEN!$H$9:$H$128,"OK",SONDERZAHLUNGEN!$F$9:$F$128,"Ja")-G252))</x:f>
      </x:c>
    </x:row>
    <x:row r="253" ht="19" customHeight="1">
      <x:c r="A253" s="90" t="n">
        <x:f>MONATSBUDGET!$A$19</x:f>
        <x:v>46569</x:v>
      </x:c>
      <x:c r="B253" t="n">
        <x:f>14</x:f>
        <x:v>14</x:v>
      </x:c>
      <x:c r="C253" t="str">
        <x:f>IF($N$22="","",$N$22)</x:f>
      </x:c>
      <x:c r="D253" s="88" t="str">
        <x:f>IF(C253="","",I233)</x:f>
      </x:c>
      <x:c r="E253" s="88" t="str">
        <x:f>IF(C253="","",ROUND(D253*$P$22/12,2))</x:f>
      </x:c>
      <x:c r="F253" s="88" t="str">
        <x:f>IF(C253="","",MIN(D253+E253,$Q$22))</x:f>
      </x:c>
      <x:c r="G253" s="88" t="str">
        <x:f>IF(C253="","",MIN(MAX(0,D253+E253-F253),SUMIFS(SONDERZAHLUNGEN!$E$9:$E$128,SONDERZAHLUNGEN!$B$9:$B$128,C253,SONDERZAHLUNGEN!$C$9:$C$128,A253,SONDERZAHLUNGEN!$H$9:$H$128,"OK",SONDERZAHLUNGEN!$F$9:$F$128,"Ja")))</x:f>
      </x:c>
      <x:c r="H253" s="88" t="str">
        <x:f>IF(C253="","",MIN(MAX(0,D253+E253-F253-G253),MAX(0,IF(MONATSBUDGET!$C$19="",0,MONATSBUDGET!$C$19)-SUM(F240:F259)-SUM(H240:H252))))</x:f>
      </x:c>
      <x:c r="I253" s="88" t="str">
        <x:f>IF(C253="","",MAX(0,ROUND(D253+E253-F253-G253-H253,2)))</x:f>
      </x:c>
      <x:c r="J253" s="88" t="str">
        <x:f>IF(C253="","",F253+G253+H253)</x:f>
      </x:c>
      <x:c r="K253" s="88" t="str">
        <x:f>IF(C253="","",MAX(0,SUMIFS(SONDERZAHLUNGEN!$E$9:$E$128,SONDERZAHLUNGEN!$B$9:$B$128,C253,SONDERZAHLUNGEN!$C$9:$C$128,A253,SONDERZAHLUNGEN!$H$9:$H$128,"OK",SONDERZAHLUNGEN!$F$9:$F$128,"Ja")-G253))</x:f>
      </x:c>
    </x:row>
    <x:row r="254" ht="19" customHeight="1">
      <x:c r="A254" s="90" t="n">
        <x:f>MONATSBUDGET!$A$19</x:f>
        <x:v>46569</x:v>
      </x:c>
      <x:c r="B254" t="n">
        <x:f>15</x:f>
        <x:v>15</x:v>
      </x:c>
      <x:c r="C254" t="str">
        <x:f>IF($N$23="","",$N$23)</x:f>
      </x:c>
      <x:c r="D254" s="88" t="str">
        <x:f>IF(C254="","",I234)</x:f>
      </x:c>
      <x:c r="E254" s="88" t="str">
        <x:f>IF(C254="","",ROUND(D254*$P$23/12,2))</x:f>
      </x:c>
      <x:c r="F254" s="88" t="str">
        <x:f>IF(C254="","",MIN(D254+E254,$Q$23))</x:f>
      </x:c>
      <x:c r="G254" s="88" t="str">
        <x:f>IF(C254="","",MIN(MAX(0,D254+E254-F254),SUMIFS(SONDERZAHLUNGEN!$E$9:$E$128,SONDERZAHLUNGEN!$B$9:$B$128,C254,SONDERZAHLUNGEN!$C$9:$C$128,A254,SONDERZAHLUNGEN!$H$9:$H$128,"OK",SONDERZAHLUNGEN!$F$9:$F$128,"Ja")))</x:f>
      </x:c>
      <x:c r="H254" s="88" t="str">
        <x:f>IF(C254="","",MIN(MAX(0,D254+E254-F254-G254),MAX(0,IF(MONATSBUDGET!$C$19="",0,MONATSBUDGET!$C$19)-SUM(F240:F259)-SUM(H240:H253))))</x:f>
      </x:c>
      <x:c r="I254" s="88" t="str">
        <x:f>IF(C254="","",MAX(0,ROUND(D254+E254-F254-G254-H254,2)))</x:f>
      </x:c>
      <x:c r="J254" s="88" t="str">
        <x:f>IF(C254="","",F254+G254+H254)</x:f>
      </x:c>
      <x:c r="K254" s="88" t="str">
        <x:f>IF(C254="","",MAX(0,SUMIFS(SONDERZAHLUNGEN!$E$9:$E$128,SONDERZAHLUNGEN!$B$9:$B$128,C254,SONDERZAHLUNGEN!$C$9:$C$128,A254,SONDERZAHLUNGEN!$H$9:$H$128,"OK",SONDERZAHLUNGEN!$F$9:$F$128,"Ja")-G254))</x:f>
      </x:c>
    </x:row>
    <x:row r="255" ht="19" customHeight="1">
      <x:c r="A255" s="90" t="n">
        <x:f>MONATSBUDGET!$A$19</x:f>
        <x:v>46569</x:v>
      </x:c>
      <x:c r="B255" t="n">
        <x:f>16</x:f>
        <x:v>16</x:v>
      </x:c>
      <x:c r="C255" t="str">
        <x:f>IF($N$24="","",$N$24)</x:f>
      </x:c>
      <x:c r="D255" s="88" t="str">
        <x:f>IF(C255="","",I235)</x:f>
      </x:c>
      <x:c r="E255" s="88" t="str">
        <x:f>IF(C255="","",ROUND(D255*$P$24/12,2))</x:f>
      </x:c>
      <x:c r="F255" s="88" t="str">
        <x:f>IF(C255="","",MIN(D255+E255,$Q$24))</x:f>
      </x:c>
      <x:c r="G255" s="88" t="str">
        <x:f>IF(C255="","",MIN(MAX(0,D255+E255-F255),SUMIFS(SONDERZAHLUNGEN!$E$9:$E$128,SONDERZAHLUNGEN!$B$9:$B$128,C255,SONDERZAHLUNGEN!$C$9:$C$128,A255,SONDERZAHLUNGEN!$H$9:$H$128,"OK",SONDERZAHLUNGEN!$F$9:$F$128,"Ja")))</x:f>
      </x:c>
      <x:c r="H255" s="88" t="str">
        <x:f>IF(C255="","",MIN(MAX(0,D255+E255-F255-G255),MAX(0,IF(MONATSBUDGET!$C$19="",0,MONATSBUDGET!$C$19)-SUM(F240:F259)-SUM(H240:H254))))</x:f>
      </x:c>
      <x:c r="I255" s="88" t="str">
        <x:f>IF(C255="","",MAX(0,ROUND(D255+E255-F255-G255-H255,2)))</x:f>
      </x:c>
      <x:c r="J255" s="88" t="str">
        <x:f>IF(C255="","",F255+G255+H255)</x:f>
      </x:c>
      <x:c r="K255" s="88" t="str">
        <x:f>IF(C255="","",MAX(0,SUMIFS(SONDERZAHLUNGEN!$E$9:$E$128,SONDERZAHLUNGEN!$B$9:$B$128,C255,SONDERZAHLUNGEN!$C$9:$C$128,A255,SONDERZAHLUNGEN!$H$9:$H$128,"OK",SONDERZAHLUNGEN!$F$9:$F$128,"Ja")-G255))</x:f>
      </x:c>
    </x:row>
    <x:row r="256" ht="19" customHeight="1">
      <x:c r="A256" s="90" t="n">
        <x:f>MONATSBUDGET!$A$19</x:f>
        <x:v>46569</x:v>
      </x:c>
      <x:c r="B256" t="n">
        <x:f>17</x:f>
        <x:v>17</x:v>
      </x:c>
      <x:c r="C256" t="str">
        <x:f>IF($N$25="","",$N$25)</x:f>
      </x:c>
      <x:c r="D256" s="88" t="str">
        <x:f>IF(C256="","",I236)</x:f>
      </x:c>
      <x:c r="E256" s="88" t="str">
        <x:f>IF(C256="","",ROUND(D256*$P$25/12,2))</x:f>
      </x:c>
      <x:c r="F256" s="88" t="str">
        <x:f>IF(C256="","",MIN(D256+E256,$Q$25))</x:f>
      </x:c>
      <x:c r="G256" s="88" t="str">
        <x:f>IF(C256="","",MIN(MAX(0,D256+E256-F256),SUMIFS(SONDERZAHLUNGEN!$E$9:$E$128,SONDERZAHLUNGEN!$B$9:$B$128,C256,SONDERZAHLUNGEN!$C$9:$C$128,A256,SONDERZAHLUNGEN!$H$9:$H$128,"OK",SONDERZAHLUNGEN!$F$9:$F$128,"Ja")))</x:f>
      </x:c>
      <x:c r="H256" s="88" t="str">
        <x:f>IF(C256="","",MIN(MAX(0,D256+E256-F256-G256),MAX(0,IF(MONATSBUDGET!$C$19="",0,MONATSBUDGET!$C$19)-SUM(F240:F259)-SUM(H240:H255))))</x:f>
      </x:c>
      <x:c r="I256" s="88" t="str">
        <x:f>IF(C256="","",MAX(0,ROUND(D256+E256-F256-G256-H256,2)))</x:f>
      </x:c>
      <x:c r="J256" s="88" t="str">
        <x:f>IF(C256="","",F256+G256+H256)</x:f>
      </x:c>
      <x:c r="K256" s="88" t="str">
        <x:f>IF(C256="","",MAX(0,SUMIFS(SONDERZAHLUNGEN!$E$9:$E$128,SONDERZAHLUNGEN!$B$9:$B$128,C256,SONDERZAHLUNGEN!$C$9:$C$128,A256,SONDERZAHLUNGEN!$H$9:$H$128,"OK",SONDERZAHLUNGEN!$F$9:$F$128,"Ja")-G256))</x:f>
      </x:c>
    </x:row>
    <x:row r="257" ht="19" customHeight="1">
      <x:c r="A257" s="90" t="n">
        <x:f>MONATSBUDGET!$A$19</x:f>
        <x:v>46569</x:v>
      </x:c>
      <x:c r="B257" t="n">
        <x:f>18</x:f>
        <x:v>18</x:v>
      </x:c>
      <x:c r="C257" t="str">
        <x:f>IF($N$26="","",$N$26)</x:f>
      </x:c>
      <x:c r="D257" s="88" t="str">
        <x:f>IF(C257="","",I237)</x:f>
      </x:c>
      <x:c r="E257" s="88" t="str">
        <x:f>IF(C257="","",ROUND(D257*$P$26/12,2))</x:f>
      </x:c>
      <x:c r="F257" s="88" t="str">
        <x:f>IF(C257="","",MIN(D257+E257,$Q$26))</x:f>
      </x:c>
      <x:c r="G257" s="88" t="str">
        <x:f>IF(C257="","",MIN(MAX(0,D257+E257-F257),SUMIFS(SONDERZAHLUNGEN!$E$9:$E$128,SONDERZAHLUNGEN!$B$9:$B$128,C257,SONDERZAHLUNGEN!$C$9:$C$128,A257,SONDERZAHLUNGEN!$H$9:$H$128,"OK",SONDERZAHLUNGEN!$F$9:$F$128,"Ja")))</x:f>
      </x:c>
      <x:c r="H257" s="88" t="str">
        <x:f>IF(C257="","",MIN(MAX(0,D257+E257-F257-G257),MAX(0,IF(MONATSBUDGET!$C$19="",0,MONATSBUDGET!$C$19)-SUM(F240:F259)-SUM(H240:H256))))</x:f>
      </x:c>
      <x:c r="I257" s="88" t="str">
        <x:f>IF(C257="","",MAX(0,ROUND(D257+E257-F257-G257-H257,2)))</x:f>
      </x:c>
      <x:c r="J257" s="88" t="str">
        <x:f>IF(C257="","",F257+G257+H257)</x:f>
      </x:c>
      <x:c r="K257" s="88" t="str">
        <x:f>IF(C257="","",MAX(0,SUMIFS(SONDERZAHLUNGEN!$E$9:$E$128,SONDERZAHLUNGEN!$B$9:$B$128,C257,SONDERZAHLUNGEN!$C$9:$C$128,A257,SONDERZAHLUNGEN!$H$9:$H$128,"OK",SONDERZAHLUNGEN!$F$9:$F$128,"Ja")-G257))</x:f>
      </x:c>
    </x:row>
    <x:row r="258" ht="19" customHeight="1">
      <x:c r="A258" s="90" t="n">
        <x:f>MONATSBUDGET!$A$19</x:f>
        <x:v>46569</x:v>
      </x:c>
      <x:c r="B258" t="n">
        <x:f>19</x:f>
        <x:v>19</x:v>
      </x:c>
      <x:c r="C258" t="str">
        <x:f>IF($N$27="","",$N$27)</x:f>
      </x:c>
      <x:c r="D258" s="88" t="str">
        <x:f>IF(C258="","",I238)</x:f>
      </x:c>
      <x:c r="E258" s="88" t="str">
        <x:f>IF(C258="","",ROUND(D258*$P$27/12,2))</x:f>
      </x:c>
      <x:c r="F258" s="88" t="str">
        <x:f>IF(C258="","",MIN(D258+E258,$Q$27))</x:f>
      </x:c>
      <x:c r="G258" s="88" t="str">
        <x:f>IF(C258="","",MIN(MAX(0,D258+E258-F258),SUMIFS(SONDERZAHLUNGEN!$E$9:$E$128,SONDERZAHLUNGEN!$B$9:$B$128,C258,SONDERZAHLUNGEN!$C$9:$C$128,A258,SONDERZAHLUNGEN!$H$9:$H$128,"OK",SONDERZAHLUNGEN!$F$9:$F$128,"Ja")))</x:f>
      </x:c>
      <x:c r="H258" s="88" t="str">
        <x:f>IF(C258="","",MIN(MAX(0,D258+E258-F258-G258),MAX(0,IF(MONATSBUDGET!$C$19="",0,MONATSBUDGET!$C$19)-SUM(F240:F259)-SUM(H240:H257))))</x:f>
      </x:c>
      <x:c r="I258" s="88" t="str">
        <x:f>IF(C258="","",MAX(0,ROUND(D258+E258-F258-G258-H258,2)))</x:f>
      </x:c>
      <x:c r="J258" s="88" t="str">
        <x:f>IF(C258="","",F258+G258+H258)</x:f>
      </x:c>
      <x:c r="K258" s="88" t="str">
        <x:f>IF(C258="","",MAX(0,SUMIFS(SONDERZAHLUNGEN!$E$9:$E$128,SONDERZAHLUNGEN!$B$9:$B$128,C258,SONDERZAHLUNGEN!$C$9:$C$128,A258,SONDERZAHLUNGEN!$H$9:$H$128,"OK",SONDERZAHLUNGEN!$F$9:$F$128,"Ja")-G258))</x:f>
      </x:c>
    </x:row>
    <x:row r="259" ht="19" customHeight="1">
      <x:c r="A259" s="90" t="n">
        <x:f>MONATSBUDGET!$A$19</x:f>
        <x:v>46569</x:v>
      </x:c>
      <x:c r="B259" t="n">
        <x:f>20</x:f>
        <x:v>20</x:v>
      </x:c>
      <x:c r="C259" t="str">
        <x:f>IF($N$28="","",$N$28)</x:f>
      </x:c>
      <x:c r="D259" s="88" t="str">
        <x:f>IF(C259="","",I239)</x:f>
      </x:c>
      <x:c r="E259" s="88" t="str">
        <x:f>IF(C259="","",ROUND(D259*$P$28/12,2))</x:f>
      </x:c>
      <x:c r="F259" s="88" t="str">
        <x:f>IF(C259="","",MIN(D259+E259,$Q$28))</x:f>
      </x:c>
      <x:c r="G259" s="88" t="str">
        <x:f>IF(C259="","",MIN(MAX(0,D259+E259-F259),SUMIFS(SONDERZAHLUNGEN!$E$9:$E$128,SONDERZAHLUNGEN!$B$9:$B$128,C259,SONDERZAHLUNGEN!$C$9:$C$128,A259,SONDERZAHLUNGEN!$H$9:$H$128,"OK",SONDERZAHLUNGEN!$F$9:$F$128,"Ja")))</x:f>
      </x:c>
      <x:c r="H259" s="88" t="str">
        <x:f>IF(C259="","",MIN(MAX(0,D259+E259-F259-G259),MAX(0,IF(MONATSBUDGET!$C$19="",0,MONATSBUDGET!$C$19)-SUM(F240:F259)-SUM(H240:H258))))</x:f>
      </x:c>
      <x:c r="I259" s="88" t="str">
        <x:f>IF(C259="","",MAX(0,ROUND(D259+E259-F259-G259-H259,2)))</x:f>
      </x:c>
      <x:c r="J259" s="88" t="str">
        <x:f>IF(C259="","",F259+G259+H259)</x:f>
      </x:c>
      <x:c r="K259" s="88" t="str">
        <x:f>IF(C259="","",MAX(0,SUMIFS(SONDERZAHLUNGEN!$E$9:$E$128,SONDERZAHLUNGEN!$B$9:$B$128,C259,SONDERZAHLUNGEN!$C$9:$C$128,A259,SONDERZAHLUNGEN!$H$9:$H$128,"OK",SONDERZAHLUNGEN!$F$9:$F$128,"Ja")-G259))</x:f>
      </x:c>
    </x:row>
    <x:row r="260" ht="19" customHeight="1">
      <x:c r="A260" s="90" t="n">
        <x:f>MONATSBUDGET!$A$20</x:f>
        <x:v>46600</x:v>
      </x:c>
      <x:c r="B260" t="n">
        <x:f>1</x:f>
        <x:v>1</x:v>
      </x:c>
      <x:c r="C260" t="str">
        <x:f>IF($N$9="","",$N$9)</x:f>
      </x:c>
      <x:c r="D260" s="88" t="str">
        <x:f>IF(C260="","",I240)</x:f>
      </x:c>
      <x:c r="E260" s="88" t="str">
        <x:f>IF(C260="","",ROUND(D260*$P$9/12,2))</x:f>
      </x:c>
      <x:c r="F260" s="88" t="str">
        <x:f>IF(C260="","",MIN(D260+E260,$Q$9))</x:f>
      </x:c>
      <x:c r="G260" s="88" t="str">
        <x:f>IF(C260="","",MIN(MAX(0,D260+E260-F260),SUMIFS(SONDERZAHLUNGEN!$E$9:$E$128,SONDERZAHLUNGEN!$B$9:$B$128,C260,SONDERZAHLUNGEN!$C$9:$C$128,A260,SONDERZAHLUNGEN!$H$9:$H$128,"OK",SONDERZAHLUNGEN!$F$9:$F$128,"Ja")))</x:f>
      </x:c>
      <x:c r="H260" s="88" t="str">
        <x:f>IF(C260="","",MIN(MAX(0,D260+E260-F260-G260),MAX(0,IF(MONATSBUDGET!$C$20="",0,MONATSBUDGET!$C$20)-SUM(F260:F279)-0)))</x:f>
      </x:c>
      <x:c r="I260" s="88" t="str">
        <x:f>IF(C260="","",MAX(0,ROUND(D260+E260-F260-G260-H260,2)))</x:f>
      </x:c>
      <x:c r="J260" s="88" t="str">
        <x:f>IF(C260="","",F260+G260+H260)</x:f>
      </x:c>
      <x:c r="K260" s="88" t="str">
        <x:f>IF(C260="","",MAX(0,SUMIFS(SONDERZAHLUNGEN!$E$9:$E$128,SONDERZAHLUNGEN!$B$9:$B$128,C260,SONDERZAHLUNGEN!$C$9:$C$128,A260,SONDERZAHLUNGEN!$H$9:$H$128,"OK",SONDERZAHLUNGEN!$F$9:$F$128,"Ja")-G260))</x:f>
      </x:c>
    </x:row>
    <x:row r="261" ht="19" customHeight="1">
      <x:c r="A261" s="90" t="n">
        <x:f>MONATSBUDGET!$A$20</x:f>
        <x:v>46600</x:v>
      </x:c>
      <x:c r="B261" t="n">
        <x:f>2</x:f>
        <x:v>2</x:v>
      </x:c>
      <x:c r="C261" t="str">
        <x:f>IF($N$10="","",$N$10)</x:f>
      </x:c>
      <x:c r="D261" s="88" t="str">
        <x:f>IF(C261="","",I241)</x:f>
      </x:c>
      <x:c r="E261" s="88" t="str">
        <x:f>IF(C261="","",ROUND(D261*$P$10/12,2))</x:f>
      </x:c>
      <x:c r="F261" s="88" t="str">
        <x:f>IF(C261="","",MIN(D261+E261,$Q$10))</x:f>
      </x:c>
      <x:c r="G261" s="88" t="str">
        <x:f>IF(C261="","",MIN(MAX(0,D261+E261-F261),SUMIFS(SONDERZAHLUNGEN!$E$9:$E$128,SONDERZAHLUNGEN!$B$9:$B$128,C261,SONDERZAHLUNGEN!$C$9:$C$128,A261,SONDERZAHLUNGEN!$H$9:$H$128,"OK",SONDERZAHLUNGEN!$F$9:$F$128,"Ja")))</x:f>
      </x:c>
      <x:c r="H261" s="88" t="str">
        <x:f>IF(C261="","",MIN(MAX(0,D261+E261-F261-G261),MAX(0,IF(MONATSBUDGET!$C$20="",0,MONATSBUDGET!$C$20)-SUM(F260:F279)-SUM(H260:H260))))</x:f>
      </x:c>
      <x:c r="I261" s="88" t="str">
        <x:f>IF(C261="","",MAX(0,ROUND(D261+E261-F261-G261-H261,2)))</x:f>
      </x:c>
      <x:c r="J261" s="88" t="str">
        <x:f>IF(C261="","",F261+G261+H261)</x:f>
      </x:c>
      <x:c r="K261" s="88" t="str">
        <x:f>IF(C261="","",MAX(0,SUMIFS(SONDERZAHLUNGEN!$E$9:$E$128,SONDERZAHLUNGEN!$B$9:$B$128,C261,SONDERZAHLUNGEN!$C$9:$C$128,A261,SONDERZAHLUNGEN!$H$9:$H$128,"OK",SONDERZAHLUNGEN!$F$9:$F$128,"Ja")-G261))</x:f>
      </x:c>
    </x:row>
    <x:row r="262" ht="19" customHeight="1">
      <x:c r="A262" s="90" t="n">
        <x:f>MONATSBUDGET!$A$20</x:f>
        <x:v>46600</x:v>
      </x:c>
      <x:c r="B262" t="n">
        <x:f>3</x:f>
        <x:v>3</x:v>
      </x:c>
      <x:c r="C262" t="str">
        <x:f>IF($N$11="","",$N$11)</x:f>
      </x:c>
      <x:c r="D262" s="88" t="str">
        <x:f>IF(C262="","",I242)</x:f>
      </x:c>
      <x:c r="E262" s="88" t="str">
        <x:f>IF(C262="","",ROUND(D262*$P$11/12,2))</x:f>
      </x:c>
      <x:c r="F262" s="88" t="str">
        <x:f>IF(C262="","",MIN(D262+E262,$Q$11))</x:f>
      </x:c>
      <x:c r="G262" s="88" t="str">
        <x:f>IF(C262="","",MIN(MAX(0,D262+E262-F262),SUMIFS(SONDERZAHLUNGEN!$E$9:$E$128,SONDERZAHLUNGEN!$B$9:$B$128,C262,SONDERZAHLUNGEN!$C$9:$C$128,A262,SONDERZAHLUNGEN!$H$9:$H$128,"OK",SONDERZAHLUNGEN!$F$9:$F$128,"Ja")))</x:f>
      </x:c>
      <x:c r="H262" s="88" t="str">
        <x:f>IF(C262="","",MIN(MAX(0,D262+E262-F262-G262),MAX(0,IF(MONATSBUDGET!$C$20="",0,MONATSBUDGET!$C$20)-SUM(F260:F279)-SUM(H260:H261))))</x:f>
      </x:c>
      <x:c r="I262" s="88" t="str">
        <x:f>IF(C262="","",MAX(0,ROUND(D262+E262-F262-G262-H262,2)))</x:f>
      </x:c>
      <x:c r="J262" s="88" t="str">
        <x:f>IF(C262="","",F262+G262+H262)</x:f>
      </x:c>
      <x:c r="K262" s="88" t="str">
        <x:f>IF(C262="","",MAX(0,SUMIFS(SONDERZAHLUNGEN!$E$9:$E$128,SONDERZAHLUNGEN!$B$9:$B$128,C262,SONDERZAHLUNGEN!$C$9:$C$128,A262,SONDERZAHLUNGEN!$H$9:$H$128,"OK",SONDERZAHLUNGEN!$F$9:$F$128,"Ja")-G262))</x:f>
      </x:c>
    </x:row>
    <x:row r="263" ht="19" customHeight="1">
      <x:c r="A263" s="90" t="n">
        <x:f>MONATSBUDGET!$A$20</x:f>
        <x:v>46600</x:v>
      </x:c>
      <x:c r="B263" t="n">
        <x:f>4</x:f>
        <x:v>4</x:v>
      </x:c>
      <x:c r="C263" t="str">
        <x:f>IF($N$12="","",$N$12)</x:f>
      </x:c>
      <x:c r="D263" s="88" t="str">
        <x:f>IF(C263="","",I243)</x:f>
      </x:c>
      <x:c r="E263" s="88" t="str">
        <x:f>IF(C263="","",ROUND(D263*$P$12/12,2))</x:f>
      </x:c>
      <x:c r="F263" s="88" t="str">
        <x:f>IF(C263="","",MIN(D263+E263,$Q$12))</x:f>
      </x:c>
      <x:c r="G263" s="88" t="str">
        <x:f>IF(C263="","",MIN(MAX(0,D263+E263-F263),SUMIFS(SONDERZAHLUNGEN!$E$9:$E$128,SONDERZAHLUNGEN!$B$9:$B$128,C263,SONDERZAHLUNGEN!$C$9:$C$128,A263,SONDERZAHLUNGEN!$H$9:$H$128,"OK",SONDERZAHLUNGEN!$F$9:$F$128,"Ja")))</x:f>
      </x:c>
      <x:c r="H263" s="88" t="str">
        <x:f>IF(C263="","",MIN(MAX(0,D263+E263-F263-G263),MAX(0,IF(MONATSBUDGET!$C$20="",0,MONATSBUDGET!$C$20)-SUM(F260:F279)-SUM(H260:H262))))</x:f>
      </x:c>
      <x:c r="I263" s="88" t="str">
        <x:f>IF(C263="","",MAX(0,ROUND(D263+E263-F263-G263-H263,2)))</x:f>
      </x:c>
      <x:c r="J263" s="88" t="str">
        <x:f>IF(C263="","",F263+G263+H263)</x:f>
      </x:c>
      <x:c r="K263" s="88" t="str">
        <x:f>IF(C263="","",MAX(0,SUMIFS(SONDERZAHLUNGEN!$E$9:$E$128,SONDERZAHLUNGEN!$B$9:$B$128,C263,SONDERZAHLUNGEN!$C$9:$C$128,A263,SONDERZAHLUNGEN!$H$9:$H$128,"OK",SONDERZAHLUNGEN!$F$9:$F$128,"Ja")-G263))</x:f>
      </x:c>
    </x:row>
    <x:row r="264" ht="19" customHeight="1">
      <x:c r="A264" s="90" t="n">
        <x:f>MONATSBUDGET!$A$20</x:f>
        <x:v>46600</x:v>
      </x:c>
      <x:c r="B264" t="n">
        <x:f>5</x:f>
        <x:v>5</x:v>
      </x:c>
      <x:c r="C264" t="str">
        <x:f>IF($N$13="","",$N$13)</x:f>
      </x:c>
      <x:c r="D264" s="88" t="str">
        <x:f>IF(C264="","",I244)</x:f>
      </x:c>
      <x:c r="E264" s="88" t="str">
        <x:f>IF(C264="","",ROUND(D264*$P$13/12,2))</x:f>
      </x:c>
      <x:c r="F264" s="88" t="str">
        <x:f>IF(C264="","",MIN(D264+E264,$Q$13))</x:f>
      </x:c>
      <x:c r="G264" s="88" t="str">
        <x:f>IF(C264="","",MIN(MAX(0,D264+E264-F264),SUMIFS(SONDERZAHLUNGEN!$E$9:$E$128,SONDERZAHLUNGEN!$B$9:$B$128,C264,SONDERZAHLUNGEN!$C$9:$C$128,A264,SONDERZAHLUNGEN!$H$9:$H$128,"OK",SONDERZAHLUNGEN!$F$9:$F$128,"Ja")))</x:f>
      </x:c>
      <x:c r="H264" s="88" t="str">
        <x:f>IF(C264="","",MIN(MAX(0,D264+E264-F264-G264),MAX(0,IF(MONATSBUDGET!$C$20="",0,MONATSBUDGET!$C$20)-SUM(F260:F279)-SUM(H260:H263))))</x:f>
      </x:c>
      <x:c r="I264" s="88" t="str">
        <x:f>IF(C264="","",MAX(0,ROUND(D264+E264-F264-G264-H264,2)))</x:f>
      </x:c>
      <x:c r="J264" s="88" t="str">
        <x:f>IF(C264="","",F264+G264+H264)</x:f>
      </x:c>
      <x:c r="K264" s="88" t="str">
        <x:f>IF(C264="","",MAX(0,SUMIFS(SONDERZAHLUNGEN!$E$9:$E$128,SONDERZAHLUNGEN!$B$9:$B$128,C264,SONDERZAHLUNGEN!$C$9:$C$128,A264,SONDERZAHLUNGEN!$H$9:$H$128,"OK",SONDERZAHLUNGEN!$F$9:$F$128,"Ja")-G264))</x:f>
      </x:c>
    </x:row>
    <x:row r="265" ht="19" customHeight="1">
      <x:c r="A265" s="90" t="n">
        <x:f>MONATSBUDGET!$A$20</x:f>
        <x:v>46600</x:v>
      </x:c>
      <x:c r="B265" t="n">
        <x:f>6</x:f>
        <x:v>6</x:v>
      </x:c>
      <x:c r="C265" t="str">
        <x:f>IF($N$14="","",$N$14)</x:f>
      </x:c>
      <x:c r="D265" s="88" t="str">
        <x:f>IF(C265="","",I245)</x:f>
      </x:c>
      <x:c r="E265" s="88" t="str">
        <x:f>IF(C265="","",ROUND(D265*$P$14/12,2))</x:f>
      </x:c>
      <x:c r="F265" s="88" t="str">
        <x:f>IF(C265="","",MIN(D265+E265,$Q$14))</x:f>
      </x:c>
      <x:c r="G265" s="88" t="str">
        <x:f>IF(C265="","",MIN(MAX(0,D265+E265-F265),SUMIFS(SONDERZAHLUNGEN!$E$9:$E$128,SONDERZAHLUNGEN!$B$9:$B$128,C265,SONDERZAHLUNGEN!$C$9:$C$128,A265,SONDERZAHLUNGEN!$H$9:$H$128,"OK",SONDERZAHLUNGEN!$F$9:$F$128,"Ja")))</x:f>
      </x:c>
      <x:c r="H265" s="88" t="str">
        <x:f>IF(C265="","",MIN(MAX(0,D265+E265-F265-G265),MAX(0,IF(MONATSBUDGET!$C$20="",0,MONATSBUDGET!$C$20)-SUM(F260:F279)-SUM(H260:H264))))</x:f>
      </x:c>
      <x:c r="I265" s="88" t="str">
        <x:f>IF(C265="","",MAX(0,ROUND(D265+E265-F265-G265-H265,2)))</x:f>
      </x:c>
      <x:c r="J265" s="88" t="str">
        <x:f>IF(C265="","",F265+G265+H265)</x:f>
      </x:c>
      <x:c r="K265" s="88" t="str">
        <x:f>IF(C265="","",MAX(0,SUMIFS(SONDERZAHLUNGEN!$E$9:$E$128,SONDERZAHLUNGEN!$B$9:$B$128,C265,SONDERZAHLUNGEN!$C$9:$C$128,A265,SONDERZAHLUNGEN!$H$9:$H$128,"OK",SONDERZAHLUNGEN!$F$9:$F$128,"Ja")-G265))</x:f>
      </x:c>
    </x:row>
    <x:row r="266" ht="19" customHeight="1">
      <x:c r="A266" s="90" t="n">
        <x:f>MONATSBUDGET!$A$20</x:f>
        <x:v>46600</x:v>
      </x:c>
      <x:c r="B266" t="n">
        <x:f>7</x:f>
        <x:v>7</x:v>
      </x:c>
      <x:c r="C266" t="str">
        <x:f>IF($N$15="","",$N$15)</x:f>
      </x:c>
      <x:c r="D266" s="88" t="str">
        <x:f>IF(C266="","",I246)</x:f>
      </x:c>
      <x:c r="E266" s="88" t="str">
        <x:f>IF(C266="","",ROUND(D266*$P$15/12,2))</x:f>
      </x:c>
      <x:c r="F266" s="88" t="str">
        <x:f>IF(C266="","",MIN(D266+E266,$Q$15))</x:f>
      </x:c>
      <x:c r="G266" s="88" t="str">
        <x:f>IF(C266="","",MIN(MAX(0,D266+E266-F266),SUMIFS(SONDERZAHLUNGEN!$E$9:$E$128,SONDERZAHLUNGEN!$B$9:$B$128,C266,SONDERZAHLUNGEN!$C$9:$C$128,A266,SONDERZAHLUNGEN!$H$9:$H$128,"OK",SONDERZAHLUNGEN!$F$9:$F$128,"Ja")))</x:f>
      </x:c>
      <x:c r="H266" s="88" t="str">
        <x:f>IF(C266="","",MIN(MAX(0,D266+E266-F266-G266),MAX(0,IF(MONATSBUDGET!$C$20="",0,MONATSBUDGET!$C$20)-SUM(F260:F279)-SUM(H260:H265))))</x:f>
      </x:c>
      <x:c r="I266" s="88" t="str">
        <x:f>IF(C266="","",MAX(0,ROUND(D266+E266-F266-G266-H266,2)))</x:f>
      </x:c>
      <x:c r="J266" s="88" t="str">
        <x:f>IF(C266="","",F266+G266+H266)</x:f>
      </x:c>
      <x:c r="K266" s="88" t="str">
        <x:f>IF(C266="","",MAX(0,SUMIFS(SONDERZAHLUNGEN!$E$9:$E$128,SONDERZAHLUNGEN!$B$9:$B$128,C266,SONDERZAHLUNGEN!$C$9:$C$128,A266,SONDERZAHLUNGEN!$H$9:$H$128,"OK",SONDERZAHLUNGEN!$F$9:$F$128,"Ja")-G266))</x:f>
      </x:c>
    </x:row>
    <x:row r="267" ht="19" customHeight="1">
      <x:c r="A267" s="90" t="n">
        <x:f>MONATSBUDGET!$A$20</x:f>
        <x:v>46600</x:v>
      </x:c>
      <x:c r="B267" t="n">
        <x:f>8</x:f>
        <x:v>8</x:v>
      </x:c>
      <x:c r="C267" t="str">
        <x:f>IF($N$16="","",$N$16)</x:f>
      </x:c>
      <x:c r="D267" s="88" t="str">
        <x:f>IF(C267="","",I247)</x:f>
      </x:c>
      <x:c r="E267" s="88" t="str">
        <x:f>IF(C267="","",ROUND(D267*$P$16/12,2))</x:f>
      </x:c>
      <x:c r="F267" s="88" t="str">
        <x:f>IF(C267="","",MIN(D267+E267,$Q$16))</x:f>
      </x:c>
      <x:c r="G267" s="88" t="str">
        <x:f>IF(C267="","",MIN(MAX(0,D267+E267-F267),SUMIFS(SONDERZAHLUNGEN!$E$9:$E$128,SONDERZAHLUNGEN!$B$9:$B$128,C267,SONDERZAHLUNGEN!$C$9:$C$128,A267,SONDERZAHLUNGEN!$H$9:$H$128,"OK",SONDERZAHLUNGEN!$F$9:$F$128,"Ja")))</x:f>
      </x:c>
      <x:c r="H267" s="88" t="str">
        <x:f>IF(C267="","",MIN(MAX(0,D267+E267-F267-G267),MAX(0,IF(MONATSBUDGET!$C$20="",0,MONATSBUDGET!$C$20)-SUM(F260:F279)-SUM(H260:H266))))</x:f>
      </x:c>
      <x:c r="I267" s="88" t="str">
        <x:f>IF(C267="","",MAX(0,ROUND(D267+E267-F267-G267-H267,2)))</x:f>
      </x:c>
      <x:c r="J267" s="88" t="str">
        <x:f>IF(C267="","",F267+G267+H267)</x:f>
      </x:c>
      <x:c r="K267" s="88" t="str">
        <x:f>IF(C267="","",MAX(0,SUMIFS(SONDERZAHLUNGEN!$E$9:$E$128,SONDERZAHLUNGEN!$B$9:$B$128,C267,SONDERZAHLUNGEN!$C$9:$C$128,A267,SONDERZAHLUNGEN!$H$9:$H$128,"OK",SONDERZAHLUNGEN!$F$9:$F$128,"Ja")-G267))</x:f>
      </x:c>
    </x:row>
    <x:row r="268" ht="19" customHeight="1">
      <x:c r="A268" s="90" t="n">
        <x:f>MONATSBUDGET!$A$20</x:f>
        <x:v>46600</x:v>
      </x:c>
      <x:c r="B268" t="n">
        <x:f>9</x:f>
        <x:v>9</x:v>
      </x:c>
      <x:c r="C268" t="str">
        <x:f>IF($N$17="","",$N$17)</x:f>
      </x:c>
      <x:c r="D268" s="88" t="str">
        <x:f>IF(C268="","",I248)</x:f>
      </x:c>
      <x:c r="E268" s="88" t="str">
        <x:f>IF(C268="","",ROUND(D268*$P$17/12,2))</x:f>
      </x:c>
      <x:c r="F268" s="88" t="str">
        <x:f>IF(C268="","",MIN(D268+E268,$Q$17))</x:f>
      </x:c>
      <x:c r="G268" s="88" t="str">
        <x:f>IF(C268="","",MIN(MAX(0,D268+E268-F268),SUMIFS(SONDERZAHLUNGEN!$E$9:$E$128,SONDERZAHLUNGEN!$B$9:$B$128,C268,SONDERZAHLUNGEN!$C$9:$C$128,A268,SONDERZAHLUNGEN!$H$9:$H$128,"OK",SONDERZAHLUNGEN!$F$9:$F$128,"Ja")))</x:f>
      </x:c>
      <x:c r="H268" s="88" t="str">
        <x:f>IF(C268="","",MIN(MAX(0,D268+E268-F268-G268),MAX(0,IF(MONATSBUDGET!$C$20="",0,MONATSBUDGET!$C$20)-SUM(F260:F279)-SUM(H260:H267))))</x:f>
      </x:c>
      <x:c r="I268" s="88" t="str">
        <x:f>IF(C268="","",MAX(0,ROUND(D268+E268-F268-G268-H268,2)))</x:f>
      </x:c>
      <x:c r="J268" s="88" t="str">
        <x:f>IF(C268="","",F268+G268+H268)</x:f>
      </x:c>
      <x:c r="K268" s="88" t="str">
        <x:f>IF(C268="","",MAX(0,SUMIFS(SONDERZAHLUNGEN!$E$9:$E$128,SONDERZAHLUNGEN!$B$9:$B$128,C268,SONDERZAHLUNGEN!$C$9:$C$128,A268,SONDERZAHLUNGEN!$H$9:$H$128,"OK",SONDERZAHLUNGEN!$F$9:$F$128,"Ja")-G268))</x:f>
      </x:c>
    </x:row>
    <x:row r="269" ht="19" customHeight="1">
      <x:c r="A269" s="90" t="n">
        <x:f>MONATSBUDGET!$A$20</x:f>
        <x:v>46600</x:v>
      </x:c>
      <x:c r="B269" t="n">
        <x:f>10</x:f>
        <x:v>10</x:v>
      </x:c>
      <x:c r="C269" t="str">
        <x:f>IF($N$18="","",$N$18)</x:f>
      </x:c>
      <x:c r="D269" s="88" t="str">
        <x:f>IF(C269="","",I249)</x:f>
      </x:c>
      <x:c r="E269" s="88" t="str">
        <x:f>IF(C269="","",ROUND(D269*$P$18/12,2))</x:f>
      </x:c>
      <x:c r="F269" s="88" t="str">
        <x:f>IF(C269="","",MIN(D269+E269,$Q$18))</x:f>
      </x:c>
      <x:c r="G269" s="88" t="str">
        <x:f>IF(C269="","",MIN(MAX(0,D269+E269-F269),SUMIFS(SONDERZAHLUNGEN!$E$9:$E$128,SONDERZAHLUNGEN!$B$9:$B$128,C269,SONDERZAHLUNGEN!$C$9:$C$128,A269,SONDERZAHLUNGEN!$H$9:$H$128,"OK",SONDERZAHLUNGEN!$F$9:$F$128,"Ja")))</x:f>
      </x:c>
      <x:c r="H269" s="88" t="str">
        <x:f>IF(C269="","",MIN(MAX(0,D269+E269-F269-G269),MAX(0,IF(MONATSBUDGET!$C$20="",0,MONATSBUDGET!$C$20)-SUM(F260:F279)-SUM(H260:H268))))</x:f>
      </x:c>
      <x:c r="I269" s="88" t="str">
        <x:f>IF(C269="","",MAX(0,ROUND(D269+E269-F269-G269-H269,2)))</x:f>
      </x:c>
      <x:c r="J269" s="88" t="str">
        <x:f>IF(C269="","",F269+G269+H269)</x:f>
      </x:c>
      <x:c r="K269" s="88" t="str">
        <x:f>IF(C269="","",MAX(0,SUMIFS(SONDERZAHLUNGEN!$E$9:$E$128,SONDERZAHLUNGEN!$B$9:$B$128,C269,SONDERZAHLUNGEN!$C$9:$C$128,A269,SONDERZAHLUNGEN!$H$9:$H$128,"OK",SONDERZAHLUNGEN!$F$9:$F$128,"Ja")-G269))</x:f>
      </x:c>
    </x:row>
    <x:row r="270" ht="19" customHeight="1">
      <x:c r="A270" s="90" t="n">
        <x:f>MONATSBUDGET!$A$20</x:f>
        <x:v>46600</x:v>
      </x:c>
      <x:c r="B270" t="n">
        <x:f>11</x:f>
        <x:v>11</x:v>
      </x:c>
      <x:c r="C270" t="str">
        <x:f>IF($N$19="","",$N$19)</x:f>
      </x:c>
      <x:c r="D270" s="88" t="str">
        <x:f>IF(C270="","",I250)</x:f>
      </x:c>
      <x:c r="E270" s="88" t="str">
        <x:f>IF(C270="","",ROUND(D270*$P$19/12,2))</x:f>
      </x:c>
      <x:c r="F270" s="88" t="str">
        <x:f>IF(C270="","",MIN(D270+E270,$Q$19))</x:f>
      </x:c>
      <x:c r="G270" s="88" t="str">
        <x:f>IF(C270="","",MIN(MAX(0,D270+E270-F270),SUMIFS(SONDERZAHLUNGEN!$E$9:$E$128,SONDERZAHLUNGEN!$B$9:$B$128,C270,SONDERZAHLUNGEN!$C$9:$C$128,A270,SONDERZAHLUNGEN!$H$9:$H$128,"OK",SONDERZAHLUNGEN!$F$9:$F$128,"Ja")))</x:f>
      </x:c>
      <x:c r="H270" s="88" t="str">
        <x:f>IF(C270="","",MIN(MAX(0,D270+E270-F270-G270),MAX(0,IF(MONATSBUDGET!$C$20="",0,MONATSBUDGET!$C$20)-SUM(F260:F279)-SUM(H260:H269))))</x:f>
      </x:c>
      <x:c r="I270" s="88" t="str">
        <x:f>IF(C270="","",MAX(0,ROUND(D270+E270-F270-G270-H270,2)))</x:f>
      </x:c>
      <x:c r="J270" s="88" t="str">
        <x:f>IF(C270="","",F270+G270+H270)</x:f>
      </x:c>
      <x:c r="K270" s="88" t="str">
        <x:f>IF(C270="","",MAX(0,SUMIFS(SONDERZAHLUNGEN!$E$9:$E$128,SONDERZAHLUNGEN!$B$9:$B$128,C270,SONDERZAHLUNGEN!$C$9:$C$128,A270,SONDERZAHLUNGEN!$H$9:$H$128,"OK",SONDERZAHLUNGEN!$F$9:$F$128,"Ja")-G270))</x:f>
      </x:c>
    </x:row>
    <x:row r="271" ht="19" customHeight="1">
      <x:c r="A271" s="90" t="n">
        <x:f>MONATSBUDGET!$A$20</x:f>
        <x:v>46600</x:v>
      </x:c>
      <x:c r="B271" t="n">
        <x:f>12</x:f>
        <x:v>12</x:v>
      </x:c>
      <x:c r="C271" t="str">
        <x:f>IF($N$20="","",$N$20)</x:f>
      </x:c>
      <x:c r="D271" s="88" t="str">
        <x:f>IF(C271="","",I251)</x:f>
      </x:c>
      <x:c r="E271" s="88" t="str">
        <x:f>IF(C271="","",ROUND(D271*$P$20/12,2))</x:f>
      </x:c>
      <x:c r="F271" s="88" t="str">
        <x:f>IF(C271="","",MIN(D271+E271,$Q$20))</x:f>
      </x:c>
      <x:c r="G271" s="88" t="str">
        <x:f>IF(C271="","",MIN(MAX(0,D271+E271-F271),SUMIFS(SONDERZAHLUNGEN!$E$9:$E$128,SONDERZAHLUNGEN!$B$9:$B$128,C271,SONDERZAHLUNGEN!$C$9:$C$128,A271,SONDERZAHLUNGEN!$H$9:$H$128,"OK",SONDERZAHLUNGEN!$F$9:$F$128,"Ja")))</x:f>
      </x:c>
      <x:c r="H271" s="88" t="str">
        <x:f>IF(C271="","",MIN(MAX(0,D271+E271-F271-G271),MAX(0,IF(MONATSBUDGET!$C$20="",0,MONATSBUDGET!$C$20)-SUM(F260:F279)-SUM(H260:H270))))</x:f>
      </x:c>
      <x:c r="I271" s="88" t="str">
        <x:f>IF(C271="","",MAX(0,ROUND(D271+E271-F271-G271-H271,2)))</x:f>
      </x:c>
      <x:c r="J271" s="88" t="str">
        <x:f>IF(C271="","",F271+G271+H271)</x:f>
      </x:c>
      <x:c r="K271" s="88" t="str">
        <x:f>IF(C271="","",MAX(0,SUMIFS(SONDERZAHLUNGEN!$E$9:$E$128,SONDERZAHLUNGEN!$B$9:$B$128,C271,SONDERZAHLUNGEN!$C$9:$C$128,A271,SONDERZAHLUNGEN!$H$9:$H$128,"OK",SONDERZAHLUNGEN!$F$9:$F$128,"Ja")-G271))</x:f>
      </x:c>
    </x:row>
    <x:row r="272" ht="19" customHeight="1">
      <x:c r="A272" s="90" t="n">
        <x:f>MONATSBUDGET!$A$20</x:f>
        <x:v>46600</x:v>
      </x:c>
      <x:c r="B272" t="n">
        <x:f>13</x:f>
        <x:v>13</x:v>
      </x:c>
      <x:c r="C272" t="str">
        <x:f>IF($N$21="","",$N$21)</x:f>
      </x:c>
      <x:c r="D272" s="88" t="str">
        <x:f>IF(C272="","",I252)</x:f>
      </x:c>
      <x:c r="E272" s="88" t="str">
        <x:f>IF(C272="","",ROUND(D272*$P$21/12,2))</x:f>
      </x:c>
      <x:c r="F272" s="88" t="str">
        <x:f>IF(C272="","",MIN(D272+E272,$Q$21))</x:f>
      </x:c>
      <x:c r="G272" s="88" t="str">
        <x:f>IF(C272="","",MIN(MAX(0,D272+E272-F272),SUMIFS(SONDERZAHLUNGEN!$E$9:$E$128,SONDERZAHLUNGEN!$B$9:$B$128,C272,SONDERZAHLUNGEN!$C$9:$C$128,A272,SONDERZAHLUNGEN!$H$9:$H$128,"OK",SONDERZAHLUNGEN!$F$9:$F$128,"Ja")))</x:f>
      </x:c>
      <x:c r="H272" s="88" t="str">
        <x:f>IF(C272="","",MIN(MAX(0,D272+E272-F272-G272),MAX(0,IF(MONATSBUDGET!$C$20="",0,MONATSBUDGET!$C$20)-SUM(F260:F279)-SUM(H260:H271))))</x:f>
      </x:c>
      <x:c r="I272" s="88" t="str">
        <x:f>IF(C272="","",MAX(0,ROUND(D272+E272-F272-G272-H272,2)))</x:f>
      </x:c>
      <x:c r="J272" s="88" t="str">
        <x:f>IF(C272="","",F272+G272+H272)</x:f>
      </x:c>
      <x:c r="K272" s="88" t="str">
        <x:f>IF(C272="","",MAX(0,SUMIFS(SONDERZAHLUNGEN!$E$9:$E$128,SONDERZAHLUNGEN!$B$9:$B$128,C272,SONDERZAHLUNGEN!$C$9:$C$128,A272,SONDERZAHLUNGEN!$H$9:$H$128,"OK",SONDERZAHLUNGEN!$F$9:$F$128,"Ja")-G272))</x:f>
      </x:c>
    </x:row>
    <x:row r="273" ht="19" customHeight="1">
      <x:c r="A273" s="90" t="n">
        <x:f>MONATSBUDGET!$A$20</x:f>
        <x:v>46600</x:v>
      </x:c>
      <x:c r="B273" t="n">
        <x:f>14</x:f>
        <x:v>14</x:v>
      </x:c>
      <x:c r="C273" t="str">
        <x:f>IF($N$22="","",$N$22)</x:f>
      </x:c>
      <x:c r="D273" s="88" t="str">
        <x:f>IF(C273="","",I253)</x:f>
      </x:c>
      <x:c r="E273" s="88" t="str">
        <x:f>IF(C273="","",ROUND(D273*$P$22/12,2))</x:f>
      </x:c>
      <x:c r="F273" s="88" t="str">
        <x:f>IF(C273="","",MIN(D273+E273,$Q$22))</x:f>
      </x:c>
      <x:c r="G273" s="88" t="str">
        <x:f>IF(C273="","",MIN(MAX(0,D273+E273-F273),SUMIFS(SONDERZAHLUNGEN!$E$9:$E$128,SONDERZAHLUNGEN!$B$9:$B$128,C273,SONDERZAHLUNGEN!$C$9:$C$128,A273,SONDERZAHLUNGEN!$H$9:$H$128,"OK",SONDERZAHLUNGEN!$F$9:$F$128,"Ja")))</x:f>
      </x:c>
      <x:c r="H273" s="88" t="str">
        <x:f>IF(C273="","",MIN(MAX(0,D273+E273-F273-G273),MAX(0,IF(MONATSBUDGET!$C$20="",0,MONATSBUDGET!$C$20)-SUM(F260:F279)-SUM(H260:H272))))</x:f>
      </x:c>
      <x:c r="I273" s="88" t="str">
        <x:f>IF(C273="","",MAX(0,ROUND(D273+E273-F273-G273-H273,2)))</x:f>
      </x:c>
      <x:c r="J273" s="88" t="str">
        <x:f>IF(C273="","",F273+G273+H273)</x:f>
      </x:c>
      <x:c r="K273" s="88" t="str">
        <x:f>IF(C273="","",MAX(0,SUMIFS(SONDERZAHLUNGEN!$E$9:$E$128,SONDERZAHLUNGEN!$B$9:$B$128,C273,SONDERZAHLUNGEN!$C$9:$C$128,A273,SONDERZAHLUNGEN!$H$9:$H$128,"OK",SONDERZAHLUNGEN!$F$9:$F$128,"Ja")-G273))</x:f>
      </x:c>
    </x:row>
    <x:row r="274" ht="19" customHeight="1">
      <x:c r="A274" s="90" t="n">
        <x:f>MONATSBUDGET!$A$20</x:f>
        <x:v>46600</x:v>
      </x:c>
      <x:c r="B274" t="n">
        <x:f>15</x:f>
        <x:v>15</x:v>
      </x:c>
      <x:c r="C274" t="str">
        <x:f>IF($N$23="","",$N$23)</x:f>
      </x:c>
      <x:c r="D274" s="88" t="str">
        <x:f>IF(C274="","",I254)</x:f>
      </x:c>
      <x:c r="E274" s="88" t="str">
        <x:f>IF(C274="","",ROUND(D274*$P$23/12,2))</x:f>
      </x:c>
      <x:c r="F274" s="88" t="str">
        <x:f>IF(C274="","",MIN(D274+E274,$Q$23))</x:f>
      </x:c>
      <x:c r="G274" s="88" t="str">
        <x:f>IF(C274="","",MIN(MAX(0,D274+E274-F274),SUMIFS(SONDERZAHLUNGEN!$E$9:$E$128,SONDERZAHLUNGEN!$B$9:$B$128,C274,SONDERZAHLUNGEN!$C$9:$C$128,A274,SONDERZAHLUNGEN!$H$9:$H$128,"OK",SONDERZAHLUNGEN!$F$9:$F$128,"Ja")))</x:f>
      </x:c>
      <x:c r="H274" s="88" t="str">
        <x:f>IF(C274="","",MIN(MAX(0,D274+E274-F274-G274),MAX(0,IF(MONATSBUDGET!$C$20="",0,MONATSBUDGET!$C$20)-SUM(F260:F279)-SUM(H260:H273))))</x:f>
      </x:c>
      <x:c r="I274" s="88" t="str">
        <x:f>IF(C274="","",MAX(0,ROUND(D274+E274-F274-G274-H274,2)))</x:f>
      </x:c>
      <x:c r="J274" s="88" t="str">
        <x:f>IF(C274="","",F274+G274+H274)</x:f>
      </x:c>
      <x:c r="K274" s="88" t="str">
        <x:f>IF(C274="","",MAX(0,SUMIFS(SONDERZAHLUNGEN!$E$9:$E$128,SONDERZAHLUNGEN!$B$9:$B$128,C274,SONDERZAHLUNGEN!$C$9:$C$128,A274,SONDERZAHLUNGEN!$H$9:$H$128,"OK",SONDERZAHLUNGEN!$F$9:$F$128,"Ja")-G274))</x:f>
      </x:c>
    </x:row>
    <x:row r="275" ht="19" customHeight="1">
      <x:c r="A275" s="90" t="n">
        <x:f>MONATSBUDGET!$A$20</x:f>
        <x:v>46600</x:v>
      </x:c>
      <x:c r="B275" t="n">
        <x:f>16</x:f>
        <x:v>16</x:v>
      </x:c>
      <x:c r="C275" t="str">
        <x:f>IF($N$24="","",$N$24)</x:f>
      </x:c>
      <x:c r="D275" s="88" t="str">
        <x:f>IF(C275="","",I255)</x:f>
      </x:c>
      <x:c r="E275" s="88" t="str">
        <x:f>IF(C275="","",ROUND(D275*$P$24/12,2))</x:f>
      </x:c>
      <x:c r="F275" s="88" t="str">
        <x:f>IF(C275="","",MIN(D275+E275,$Q$24))</x:f>
      </x:c>
      <x:c r="G275" s="88" t="str">
        <x:f>IF(C275="","",MIN(MAX(0,D275+E275-F275),SUMIFS(SONDERZAHLUNGEN!$E$9:$E$128,SONDERZAHLUNGEN!$B$9:$B$128,C275,SONDERZAHLUNGEN!$C$9:$C$128,A275,SONDERZAHLUNGEN!$H$9:$H$128,"OK",SONDERZAHLUNGEN!$F$9:$F$128,"Ja")))</x:f>
      </x:c>
      <x:c r="H275" s="88" t="str">
        <x:f>IF(C275="","",MIN(MAX(0,D275+E275-F275-G275),MAX(0,IF(MONATSBUDGET!$C$20="",0,MONATSBUDGET!$C$20)-SUM(F260:F279)-SUM(H260:H274))))</x:f>
      </x:c>
      <x:c r="I275" s="88" t="str">
        <x:f>IF(C275="","",MAX(0,ROUND(D275+E275-F275-G275-H275,2)))</x:f>
      </x:c>
      <x:c r="J275" s="88" t="str">
        <x:f>IF(C275="","",F275+G275+H275)</x:f>
      </x:c>
      <x:c r="K275" s="88" t="str">
        <x:f>IF(C275="","",MAX(0,SUMIFS(SONDERZAHLUNGEN!$E$9:$E$128,SONDERZAHLUNGEN!$B$9:$B$128,C275,SONDERZAHLUNGEN!$C$9:$C$128,A275,SONDERZAHLUNGEN!$H$9:$H$128,"OK",SONDERZAHLUNGEN!$F$9:$F$128,"Ja")-G275))</x:f>
      </x:c>
    </x:row>
    <x:row r="276" ht="19" customHeight="1">
      <x:c r="A276" s="90" t="n">
        <x:f>MONATSBUDGET!$A$20</x:f>
        <x:v>46600</x:v>
      </x:c>
      <x:c r="B276" t="n">
        <x:f>17</x:f>
        <x:v>17</x:v>
      </x:c>
      <x:c r="C276" t="str">
        <x:f>IF($N$25="","",$N$25)</x:f>
      </x:c>
      <x:c r="D276" s="88" t="str">
        <x:f>IF(C276="","",I256)</x:f>
      </x:c>
      <x:c r="E276" s="88" t="str">
        <x:f>IF(C276="","",ROUND(D276*$P$25/12,2))</x:f>
      </x:c>
      <x:c r="F276" s="88" t="str">
        <x:f>IF(C276="","",MIN(D276+E276,$Q$25))</x:f>
      </x:c>
      <x:c r="G276" s="88" t="str">
        <x:f>IF(C276="","",MIN(MAX(0,D276+E276-F276),SUMIFS(SONDERZAHLUNGEN!$E$9:$E$128,SONDERZAHLUNGEN!$B$9:$B$128,C276,SONDERZAHLUNGEN!$C$9:$C$128,A276,SONDERZAHLUNGEN!$H$9:$H$128,"OK",SONDERZAHLUNGEN!$F$9:$F$128,"Ja")))</x:f>
      </x:c>
      <x:c r="H276" s="88" t="str">
        <x:f>IF(C276="","",MIN(MAX(0,D276+E276-F276-G276),MAX(0,IF(MONATSBUDGET!$C$20="",0,MONATSBUDGET!$C$20)-SUM(F260:F279)-SUM(H260:H275))))</x:f>
      </x:c>
      <x:c r="I276" s="88" t="str">
        <x:f>IF(C276="","",MAX(0,ROUND(D276+E276-F276-G276-H276,2)))</x:f>
      </x:c>
      <x:c r="J276" s="88" t="str">
        <x:f>IF(C276="","",F276+G276+H276)</x:f>
      </x:c>
      <x:c r="K276" s="88" t="str">
        <x:f>IF(C276="","",MAX(0,SUMIFS(SONDERZAHLUNGEN!$E$9:$E$128,SONDERZAHLUNGEN!$B$9:$B$128,C276,SONDERZAHLUNGEN!$C$9:$C$128,A276,SONDERZAHLUNGEN!$H$9:$H$128,"OK",SONDERZAHLUNGEN!$F$9:$F$128,"Ja")-G276))</x:f>
      </x:c>
    </x:row>
    <x:row r="277" ht="19" customHeight="1">
      <x:c r="A277" s="90" t="n">
        <x:f>MONATSBUDGET!$A$20</x:f>
        <x:v>46600</x:v>
      </x:c>
      <x:c r="B277" t="n">
        <x:f>18</x:f>
        <x:v>18</x:v>
      </x:c>
      <x:c r="C277" t="str">
        <x:f>IF($N$26="","",$N$26)</x:f>
      </x:c>
      <x:c r="D277" s="88" t="str">
        <x:f>IF(C277="","",I257)</x:f>
      </x:c>
      <x:c r="E277" s="88" t="str">
        <x:f>IF(C277="","",ROUND(D277*$P$26/12,2))</x:f>
      </x:c>
      <x:c r="F277" s="88" t="str">
        <x:f>IF(C277="","",MIN(D277+E277,$Q$26))</x:f>
      </x:c>
      <x:c r="G277" s="88" t="str">
        <x:f>IF(C277="","",MIN(MAX(0,D277+E277-F277),SUMIFS(SONDERZAHLUNGEN!$E$9:$E$128,SONDERZAHLUNGEN!$B$9:$B$128,C277,SONDERZAHLUNGEN!$C$9:$C$128,A277,SONDERZAHLUNGEN!$H$9:$H$128,"OK",SONDERZAHLUNGEN!$F$9:$F$128,"Ja")))</x:f>
      </x:c>
      <x:c r="H277" s="88" t="str">
        <x:f>IF(C277="","",MIN(MAX(0,D277+E277-F277-G277),MAX(0,IF(MONATSBUDGET!$C$20="",0,MONATSBUDGET!$C$20)-SUM(F260:F279)-SUM(H260:H276))))</x:f>
      </x:c>
      <x:c r="I277" s="88" t="str">
        <x:f>IF(C277="","",MAX(0,ROUND(D277+E277-F277-G277-H277,2)))</x:f>
      </x:c>
      <x:c r="J277" s="88" t="str">
        <x:f>IF(C277="","",F277+G277+H277)</x:f>
      </x:c>
      <x:c r="K277" s="88" t="str">
        <x:f>IF(C277="","",MAX(0,SUMIFS(SONDERZAHLUNGEN!$E$9:$E$128,SONDERZAHLUNGEN!$B$9:$B$128,C277,SONDERZAHLUNGEN!$C$9:$C$128,A277,SONDERZAHLUNGEN!$H$9:$H$128,"OK",SONDERZAHLUNGEN!$F$9:$F$128,"Ja")-G277))</x:f>
      </x:c>
    </x:row>
    <x:row r="278" ht="19" customHeight="1">
      <x:c r="A278" s="90" t="n">
        <x:f>MONATSBUDGET!$A$20</x:f>
        <x:v>46600</x:v>
      </x:c>
      <x:c r="B278" t="n">
        <x:f>19</x:f>
        <x:v>19</x:v>
      </x:c>
      <x:c r="C278" t="str">
        <x:f>IF($N$27="","",$N$27)</x:f>
      </x:c>
      <x:c r="D278" s="88" t="str">
        <x:f>IF(C278="","",I258)</x:f>
      </x:c>
      <x:c r="E278" s="88" t="str">
        <x:f>IF(C278="","",ROUND(D278*$P$27/12,2))</x:f>
      </x:c>
      <x:c r="F278" s="88" t="str">
        <x:f>IF(C278="","",MIN(D278+E278,$Q$27))</x:f>
      </x:c>
      <x:c r="G278" s="88" t="str">
        <x:f>IF(C278="","",MIN(MAX(0,D278+E278-F278),SUMIFS(SONDERZAHLUNGEN!$E$9:$E$128,SONDERZAHLUNGEN!$B$9:$B$128,C278,SONDERZAHLUNGEN!$C$9:$C$128,A278,SONDERZAHLUNGEN!$H$9:$H$128,"OK",SONDERZAHLUNGEN!$F$9:$F$128,"Ja")))</x:f>
      </x:c>
      <x:c r="H278" s="88" t="str">
        <x:f>IF(C278="","",MIN(MAX(0,D278+E278-F278-G278),MAX(0,IF(MONATSBUDGET!$C$20="",0,MONATSBUDGET!$C$20)-SUM(F260:F279)-SUM(H260:H277))))</x:f>
      </x:c>
      <x:c r="I278" s="88" t="str">
        <x:f>IF(C278="","",MAX(0,ROUND(D278+E278-F278-G278-H278,2)))</x:f>
      </x:c>
      <x:c r="J278" s="88" t="str">
        <x:f>IF(C278="","",F278+G278+H278)</x:f>
      </x:c>
      <x:c r="K278" s="88" t="str">
        <x:f>IF(C278="","",MAX(0,SUMIFS(SONDERZAHLUNGEN!$E$9:$E$128,SONDERZAHLUNGEN!$B$9:$B$128,C278,SONDERZAHLUNGEN!$C$9:$C$128,A278,SONDERZAHLUNGEN!$H$9:$H$128,"OK",SONDERZAHLUNGEN!$F$9:$F$128,"Ja")-G278))</x:f>
      </x:c>
    </x:row>
    <x:row r="279" ht="19" customHeight="1">
      <x:c r="A279" s="90" t="n">
        <x:f>MONATSBUDGET!$A$20</x:f>
        <x:v>46600</x:v>
      </x:c>
      <x:c r="B279" t="n">
        <x:f>20</x:f>
        <x:v>20</x:v>
      </x:c>
      <x:c r="C279" t="str">
        <x:f>IF($N$28="","",$N$28)</x:f>
      </x:c>
      <x:c r="D279" s="88" t="str">
        <x:f>IF(C279="","",I259)</x:f>
      </x:c>
      <x:c r="E279" s="88" t="str">
        <x:f>IF(C279="","",ROUND(D279*$P$28/12,2))</x:f>
      </x:c>
      <x:c r="F279" s="88" t="str">
        <x:f>IF(C279="","",MIN(D279+E279,$Q$28))</x:f>
      </x:c>
      <x:c r="G279" s="88" t="str">
        <x:f>IF(C279="","",MIN(MAX(0,D279+E279-F279),SUMIFS(SONDERZAHLUNGEN!$E$9:$E$128,SONDERZAHLUNGEN!$B$9:$B$128,C279,SONDERZAHLUNGEN!$C$9:$C$128,A279,SONDERZAHLUNGEN!$H$9:$H$128,"OK",SONDERZAHLUNGEN!$F$9:$F$128,"Ja")))</x:f>
      </x:c>
      <x:c r="H279" s="88" t="str">
        <x:f>IF(C279="","",MIN(MAX(0,D279+E279-F279-G279),MAX(0,IF(MONATSBUDGET!$C$20="",0,MONATSBUDGET!$C$20)-SUM(F260:F279)-SUM(H260:H278))))</x:f>
      </x:c>
      <x:c r="I279" s="88" t="str">
        <x:f>IF(C279="","",MAX(0,ROUND(D279+E279-F279-G279-H279,2)))</x:f>
      </x:c>
      <x:c r="J279" s="88" t="str">
        <x:f>IF(C279="","",F279+G279+H279)</x:f>
      </x:c>
      <x:c r="K279" s="88" t="str">
        <x:f>IF(C279="","",MAX(0,SUMIFS(SONDERZAHLUNGEN!$E$9:$E$128,SONDERZAHLUNGEN!$B$9:$B$128,C279,SONDERZAHLUNGEN!$C$9:$C$128,A279,SONDERZAHLUNGEN!$H$9:$H$128,"OK",SONDERZAHLUNGEN!$F$9:$F$128,"Ja")-G279))</x:f>
      </x:c>
    </x:row>
    <x:row r="280" ht="19" customHeight="1">
      <x:c r="A280" s="90" t="n">
        <x:f>MONATSBUDGET!$A$21</x:f>
        <x:v>46631</x:v>
      </x:c>
      <x:c r="B280" t="n">
        <x:f>1</x:f>
        <x:v>1</x:v>
      </x:c>
      <x:c r="C280" t="str">
        <x:f>IF($N$9="","",$N$9)</x:f>
      </x:c>
      <x:c r="D280" s="88" t="str">
        <x:f>IF(C280="","",I260)</x:f>
      </x:c>
      <x:c r="E280" s="88" t="str">
        <x:f>IF(C280="","",ROUND(D280*$P$9/12,2))</x:f>
      </x:c>
      <x:c r="F280" s="88" t="str">
        <x:f>IF(C280="","",MIN(D280+E280,$Q$9))</x:f>
      </x:c>
      <x:c r="G280" s="88" t="str">
        <x:f>IF(C280="","",MIN(MAX(0,D280+E280-F280),SUMIFS(SONDERZAHLUNGEN!$E$9:$E$128,SONDERZAHLUNGEN!$B$9:$B$128,C280,SONDERZAHLUNGEN!$C$9:$C$128,A280,SONDERZAHLUNGEN!$H$9:$H$128,"OK",SONDERZAHLUNGEN!$F$9:$F$128,"Ja")))</x:f>
      </x:c>
      <x:c r="H280" s="88" t="str">
        <x:f>IF(C280="","",MIN(MAX(0,D280+E280-F280-G280),MAX(0,IF(MONATSBUDGET!$C$21="",0,MONATSBUDGET!$C$21)-SUM(F280:F299)-0)))</x:f>
      </x:c>
      <x:c r="I280" s="88" t="str">
        <x:f>IF(C280="","",MAX(0,ROUND(D280+E280-F280-G280-H280,2)))</x:f>
      </x:c>
      <x:c r="J280" s="88" t="str">
        <x:f>IF(C280="","",F280+G280+H280)</x:f>
      </x:c>
      <x:c r="K280" s="88" t="str">
        <x:f>IF(C280="","",MAX(0,SUMIFS(SONDERZAHLUNGEN!$E$9:$E$128,SONDERZAHLUNGEN!$B$9:$B$128,C280,SONDERZAHLUNGEN!$C$9:$C$128,A280,SONDERZAHLUNGEN!$H$9:$H$128,"OK",SONDERZAHLUNGEN!$F$9:$F$128,"Ja")-G280))</x:f>
      </x:c>
    </x:row>
    <x:row r="281" ht="19" customHeight="1">
      <x:c r="A281" s="90" t="n">
        <x:f>MONATSBUDGET!$A$21</x:f>
        <x:v>46631</x:v>
      </x:c>
      <x:c r="B281" t="n">
        <x:f>2</x:f>
        <x:v>2</x:v>
      </x:c>
      <x:c r="C281" t="str">
        <x:f>IF($N$10="","",$N$10)</x:f>
      </x:c>
      <x:c r="D281" s="88" t="str">
        <x:f>IF(C281="","",I261)</x:f>
      </x:c>
      <x:c r="E281" s="88" t="str">
        <x:f>IF(C281="","",ROUND(D281*$P$10/12,2))</x:f>
      </x:c>
      <x:c r="F281" s="88" t="str">
        <x:f>IF(C281="","",MIN(D281+E281,$Q$10))</x:f>
      </x:c>
      <x:c r="G281" s="88" t="str">
        <x:f>IF(C281="","",MIN(MAX(0,D281+E281-F281),SUMIFS(SONDERZAHLUNGEN!$E$9:$E$128,SONDERZAHLUNGEN!$B$9:$B$128,C281,SONDERZAHLUNGEN!$C$9:$C$128,A281,SONDERZAHLUNGEN!$H$9:$H$128,"OK",SONDERZAHLUNGEN!$F$9:$F$128,"Ja")))</x:f>
      </x:c>
      <x:c r="H281" s="88" t="str">
        <x:f>IF(C281="","",MIN(MAX(0,D281+E281-F281-G281),MAX(0,IF(MONATSBUDGET!$C$21="",0,MONATSBUDGET!$C$21)-SUM(F280:F299)-SUM(H280:H280))))</x:f>
      </x:c>
      <x:c r="I281" s="88" t="str">
        <x:f>IF(C281="","",MAX(0,ROUND(D281+E281-F281-G281-H281,2)))</x:f>
      </x:c>
      <x:c r="J281" s="88" t="str">
        <x:f>IF(C281="","",F281+G281+H281)</x:f>
      </x:c>
      <x:c r="K281" s="88" t="str">
        <x:f>IF(C281="","",MAX(0,SUMIFS(SONDERZAHLUNGEN!$E$9:$E$128,SONDERZAHLUNGEN!$B$9:$B$128,C281,SONDERZAHLUNGEN!$C$9:$C$128,A281,SONDERZAHLUNGEN!$H$9:$H$128,"OK",SONDERZAHLUNGEN!$F$9:$F$128,"Ja")-G281))</x:f>
      </x:c>
    </x:row>
    <x:row r="282" ht="19" customHeight="1">
      <x:c r="A282" s="90" t="n">
        <x:f>MONATSBUDGET!$A$21</x:f>
        <x:v>46631</x:v>
      </x:c>
      <x:c r="B282" t="n">
        <x:f>3</x:f>
        <x:v>3</x:v>
      </x:c>
      <x:c r="C282" t="str">
        <x:f>IF($N$11="","",$N$11)</x:f>
      </x:c>
      <x:c r="D282" s="88" t="str">
        <x:f>IF(C282="","",I262)</x:f>
      </x:c>
      <x:c r="E282" s="88" t="str">
        <x:f>IF(C282="","",ROUND(D282*$P$11/12,2))</x:f>
      </x:c>
      <x:c r="F282" s="88" t="str">
        <x:f>IF(C282="","",MIN(D282+E282,$Q$11))</x:f>
      </x:c>
      <x:c r="G282" s="88" t="str">
        <x:f>IF(C282="","",MIN(MAX(0,D282+E282-F282),SUMIFS(SONDERZAHLUNGEN!$E$9:$E$128,SONDERZAHLUNGEN!$B$9:$B$128,C282,SONDERZAHLUNGEN!$C$9:$C$128,A282,SONDERZAHLUNGEN!$H$9:$H$128,"OK",SONDERZAHLUNGEN!$F$9:$F$128,"Ja")))</x:f>
      </x:c>
      <x:c r="H282" s="88" t="str">
        <x:f>IF(C282="","",MIN(MAX(0,D282+E282-F282-G282),MAX(0,IF(MONATSBUDGET!$C$21="",0,MONATSBUDGET!$C$21)-SUM(F280:F299)-SUM(H280:H281))))</x:f>
      </x:c>
      <x:c r="I282" s="88" t="str">
        <x:f>IF(C282="","",MAX(0,ROUND(D282+E282-F282-G282-H282,2)))</x:f>
      </x:c>
      <x:c r="J282" s="88" t="str">
        <x:f>IF(C282="","",F282+G282+H282)</x:f>
      </x:c>
      <x:c r="K282" s="88" t="str">
        <x:f>IF(C282="","",MAX(0,SUMIFS(SONDERZAHLUNGEN!$E$9:$E$128,SONDERZAHLUNGEN!$B$9:$B$128,C282,SONDERZAHLUNGEN!$C$9:$C$128,A282,SONDERZAHLUNGEN!$H$9:$H$128,"OK",SONDERZAHLUNGEN!$F$9:$F$128,"Ja")-G282))</x:f>
      </x:c>
    </x:row>
    <x:row r="283" ht="19" customHeight="1">
      <x:c r="A283" s="90" t="n">
        <x:f>MONATSBUDGET!$A$21</x:f>
        <x:v>46631</x:v>
      </x:c>
      <x:c r="B283" t="n">
        <x:f>4</x:f>
        <x:v>4</x:v>
      </x:c>
      <x:c r="C283" t="str">
        <x:f>IF($N$12="","",$N$12)</x:f>
      </x:c>
      <x:c r="D283" s="88" t="str">
        <x:f>IF(C283="","",I263)</x:f>
      </x:c>
      <x:c r="E283" s="88" t="str">
        <x:f>IF(C283="","",ROUND(D283*$P$12/12,2))</x:f>
      </x:c>
      <x:c r="F283" s="88" t="str">
        <x:f>IF(C283="","",MIN(D283+E283,$Q$12))</x:f>
      </x:c>
      <x:c r="G283" s="88" t="str">
        <x:f>IF(C283="","",MIN(MAX(0,D283+E283-F283),SUMIFS(SONDERZAHLUNGEN!$E$9:$E$128,SONDERZAHLUNGEN!$B$9:$B$128,C283,SONDERZAHLUNGEN!$C$9:$C$128,A283,SONDERZAHLUNGEN!$H$9:$H$128,"OK",SONDERZAHLUNGEN!$F$9:$F$128,"Ja")))</x:f>
      </x:c>
      <x:c r="H283" s="88" t="str">
        <x:f>IF(C283="","",MIN(MAX(0,D283+E283-F283-G283),MAX(0,IF(MONATSBUDGET!$C$21="",0,MONATSBUDGET!$C$21)-SUM(F280:F299)-SUM(H280:H282))))</x:f>
      </x:c>
      <x:c r="I283" s="88" t="str">
        <x:f>IF(C283="","",MAX(0,ROUND(D283+E283-F283-G283-H283,2)))</x:f>
      </x:c>
      <x:c r="J283" s="88" t="str">
        <x:f>IF(C283="","",F283+G283+H283)</x:f>
      </x:c>
      <x:c r="K283" s="88" t="str">
        <x:f>IF(C283="","",MAX(0,SUMIFS(SONDERZAHLUNGEN!$E$9:$E$128,SONDERZAHLUNGEN!$B$9:$B$128,C283,SONDERZAHLUNGEN!$C$9:$C$128,A283,SONDERZAHLUNGEN!$H$9:$H$128,"OK",SONDERZAHLUNGEN!$F$9:$F$128,"Ja")-G283))</x:f>
      </x:c>
    </x:row>
    <x:row r="284" ht="19" customHeight="1">
      <x:c r="A284" s="90" t="n">
        <x:f>MONATSBUDGET!$A$21</x:f>
        <x:v>46631</x:v>
      </x:c>
      <x:c r="B284" t="n">
        <x:f>5</x:f>
        <x:v>5</x:v>
      </x:c>
      <x:c r="C284" t="str">
        <x:f>IF($N$13="","",$N$13)</x:f>
      </x:c>
      <x:c r="D284" s="88" t="str">
        <x:f>IF(C284="","",I264)</x:f>
      </x:c>
      <x:c r="E284" s="88" t="str">
        <x:f>IF(C284="","",ROUND(D284*$P$13/12,2))</x:f>
      </x:c>
      <x:c r="F284" s="88" t="str">
        <x:f>IF(C284="","",MIN(D284+E284,$Q$13))</x:f>
      </x:c>
      <x:c r="G284" s="88" t="str">
        <x:f>IF(C284="","",MIN(MAX(0,D284+E284-F284),SUMIFS(SONDERZAHLUNGEN!$E$9:$E$128,SONDERZAHLUNGEN!$B$9:$B$128,C284,SONDERZAHLUNGEN!$C$9:$C$128,A284,SONDERZAHLUNGEN!$H$9:$H$128,"OK",SONDERZAHLUNGEN!$F$9:$F$128,"Ja")))</x:f>
      </x:c>
      <x:c r="H284" s="88" t="str">
        <x:f>IF(C284="","",MIN(MAX(0,D284+E284-F284-G284),MAX(0,IF(MONATSBUDGET!$C$21="",0,MONATSBUDGET!$C$21)-SUM(F280:F299)-SUM(H280:H283))))</x:f>
      </x:c>
      <x:c r="I284" s="88" t="str">
        <x:f>IF(C284="","",MAX(0,ROUND(D284+E284-F284-G284-H284,2)))</x:f>
      </x:c>
      <x:c r="J284" s="88" t="str">
        <x:f>IF(C284="","",F284+G284+H284)</x:f>
      </x:c>
      <x:c r="K284" s="88" t="str">
        <x:f>IF(C284="","",MAX(0,SUMIFS(SONDERZAHLUNGEN!$E$9:$E$128,SONDERZAHLUNGEN!$B$9:$B$128,C284,SONDERZAHLUNGEN!$C$9:$C$128,A284,SONDERZAHLUNGEN!$H$9:$H$128,"OK",SONDERZAHLUNGEN!$F$9:$F$128,"Ja")-G284))</x:f>
      </x:c>
    </x:row>
    <x:row r="285" ht="19" customHeight="1">
      <x:c r="A285" s="90" t="n">
        <x:f>MONATSBUDGET!$A$21</x:f>
        <x:v>46631</x:v>
      </x:c>
      <x:c r="B285" t="n">
        <x:f>6</x:f>
        <x:v>6</x:v>
      </x:c>
      <x:c r="C285" t="str">
        <x:f>IF($N$14="","",$N$14)</x:f>
      </x:c>
      <x:c r="D285" s="88" t="str">
        <x:f>IF(C285="","",I265)</x:f>
      </x:c>
      <x:c r="E285" s="88" t="str">
        <x:f>IF(C285="","",ROUND(D285*$P$14/12,2))</x:f>
      </x:c>
      <x:c r="F285" s="88" t="str">
        <x:f>IF(C285="","",MIN(D285+E285,$Q$14))</x:f>
      </x:c>
      <x:c r="G285" s="88" t="str">
        <x:f>IF(C285="","",MIN(MAX(0,D285+E285-F285),SUMIFS(SONDERZAHLUNGEN!$E$9:$E$128,SONDERZAHLUNGEN!$B$9:$B$128,C285,SONDERZAHLUNGEN!$C$9:$C$128,A285,SONDERZAHLUNGEN!$H$9:$H$128,"OK",SONDERZAHLUNGEN!$F$9:$F$128,"Ja")))</x:f>
      </x:c>
      <x:c r="H285" s="88" t="str">
        <x:f>IF(C285="","",MIN(MAX(0,D285+E285-F285-G285),MAX(0,IF(MONATSBUDGET!$C$21="",0,MONATSBUDGET!$C$21)-SUM(F280:F299)-SUM(H280:H284))))</x:f>
      </x:c>
      <x:c r="I285" s="88" t="str">
        <x:f>IF(C285="","",MAX(0,ROUND(D285+E285-F285-G285-H285,2)))</x:f>
      </x:c>
      <x:c r="J285" s="88" t="str">
        <x:f>IF(C285="","",F285+G285+H285)</x:f>
      </x:c>
      <x:c r="K285" s="88" t="str">
        <x:f>IF(C285="","",MAX(0,SUMIFS(SONDERZAHLUNGEN!$E$9:$E$128,SONDERZAHLUNGEN!$B$9:$B$128,C285,SONDERZAHLUNGEN!$C$9:$C$128,A285,SONDERZAHLUNGEN!$H$9:$H$128,"OK",SONDERZAHLUNGEN!$F$9:$F$128,"Ja")-G285))</x:f>
      </x:c>
    </x:row>
    <x:row r="286" ht="19" customHeight="1">
      <x:c r="A286" s="90" t="n">
        <x:f>MONATSBUDGET!$A$21</x:f>
        <x:v>46631</x:v>
      </x:c>
      <x:c r="B286" t="n">
        <x:f>7</x:f>
        <x:v>7</x:v>
      </x:c>
      <x:c r="C286" t="str">
        <x:f>IF($N$15="","",$N$15)</x:f>
      </x:c>
      <x:c r="D286" s="88" t="str">
        <x:f>IF(C286="","",I266)</x:f>
      </x:c>
      <x:c r="E286" s="88" t="str">
        <x:f>IF(C286="","",ROUND(D286*$P$15/12,2))</x:f>
      </x:c>
      <x:c r="F286" s="88" t="str">
        <x:f>IF(C286="","",MIN(D286+E286,$Q$15))</x:f>
      </x:c>
      <x:c r="G286" s="88" t="str">
        <x:f>IF(C286="","",MIN(MAX(0,D286+E286-F286),SUMIFS(SONDERZAHLUNGEN!$E$9:$E$128,SONDERZAHLUNGEN!$B$9:$B$128,C286,SONDERZAHLUNGEN!$C$9:$C$128,A286,SONDERZAHLUNGEN!$H$9:$H$128,"OK",SONDERZAHLUNGEN!$F$9:$F$128,"Ja")))</x:f>
      </x:c>
      <x:c r="H286" s="88" t="str">
        <x:f>IF(C286="","",MIN(MAX(0,D286+E286-F286-G286),MAX(0,IF(MONATSBUDGET!$C$21="",0,MONATSBUDGET!$C$21)-SUM(F280:F299)-SUM(H280:H285))))</x:f>
      </x:c>
      <x:c r="I286" s="88" t="str">
        <x:f>IF(C286="","",MAX(0,ROUND(D286+E286-F286-G286-H286,2)))</x:f>
      </x:c>
      <x:c r="J286" s="88" t="str">
        <x:f>IF(C286="","",F286+G286+H286)</x:f>
      </x:c>
      <x:c r="K286" s="88" t="str">
        <x:f>IF(C286="","",MAX(0,SUMIFS(SONDERZAHLUNGEN!$E$9:$E$128,SONDERZAHLUNGEN!$B$9:$B$128,C286,SONDERZAHLUNGEN!$C$9:$C$128,A286,SONDERZAHLUNGEN!$H$9:$H$128,"OK",SONDERZAHLUNGEN!$F$9:$F$128,"Ja")-G286))</x:f>
      </x:c>
    </x:row>
    <x:row r="287" ht="19" customHeight="1">
      <x:c r="A287" s="90" t="n">
        <x:f>MONATSBUDGET!$A$21</x:f>
        <x:v>46631</x:v>
      </x:c>
      <x:c r="B287" t="n">
        <x:f>8</x:f>
        <x:v>8</x:v>
      </x:c>
      <x:c r="C287" t="str">
        <x:f>IF($N$16="","",$N$16)</x:f>
      </x:c>
      <x:c r="D287" s="88" t="str">
        <x:f>IF(C287="","",I267)</x:f>
      </x:c>
      <x:c r="E287" s="88" t="str">
        <x:f>IF(C287="","",ROUND(D287*$P$16/12,2))</x:f>
      </x:c>
      <x:c r="F287" s="88" t="str">
        <x:f>IF(C287="","",MIN(D287+E287,$Q$16))</x:f>
      </x:c>
      <x:c r="G287" s="88" t="str">
        <x:f>IF(C287="","",MIN(MAX(0,D287+E287-F287),SUMIFS(SONDERZAHLUNGEN!$E$9:$E$128,SONDERZAHLUNGEN!$B$9:$B$128,C287,SONDERZAHLUNGEN!$C$9:$C$128,A287,SONDERZAHLUNGEN!$H$9:$H$128,"OK",SONDERZAHLUNGEN!$F$9:$F$128,"Ja")))</x:f>
      </x:c>
      <x:c r="H287" s="88" t="str">
        <x:f>IF(C287="","",MIN(MAX(0,D287+E287-F287-G287),MAX(0,IF(MONATSBUDGET!$C$21="",0,MONATSBUDGET!$C$21)-SUM(F280:F299)-SUM(H280:H286))))</x:f>
      </x:c>
      <x:c r="I287" s="88" t="str">
        <x:f>IF(C287="","",MAX(0,ROUND(D287+E287-F287-G287-H287,2)))</x:f>
      </x:c>
      <x:c r="J287" s="88" t="str">
        <x:f>IF(C287="","",F287+G287+H287)</x:f>
      </x:c>
      <x:c r="K287" s="88" t="str">
        <x:f>IF(C287="","",MAX(0,SUMIFS(SONDERZAHLUNGEN!$E$9:$E$128,SONDERZAHLUNGEN!$B$9:$B$128,C287,SONDERZAHLUNGEN!$C$9:$C$128,A287,SONDERZAHLUNGEN!$H$9:$H$128,"OK",SONDERZAHLUNGEN!$F$9:$F$128,"Ja")-G287))</x:f>
      </x:c>
    </x:row>
    <x:row r="288" ht="19" customHeight="1">
      <x:c r="A288" s="90" t="n">
        <x:f>MONATSBUDGET!$A$21</x:f>
        <x:v>46631</x:v>
      </x:c>
      <x:c r="B288" t="n">
        <x:f>9</x:f>
        <x:v>9</x:v>
      </x:c>
      <x:c r="C288" t="str">
        <x:f>IF($N$17="","",$N$17)</x:f>
      </x:c>
      <x:c r="D288" s="88" t="str">
        <x:f>IF(C288="","",I268)</x:f>
      </x:c>
      <x:c r="E288" s="88" t="str">
        <x:f>IF(C288="","",ROUND(D288*$P$17/12,2))</x:f>
      </x:c>
      <x:c r="F288" s="88" t="str">
        <x:f>IF(C288="","",MIN(D288+E288,$Q$17))</x:f>
      </x:c>
      <x:c r="G288" s="88" t="str">
        <x:f>IF(C288="","",MIN(MAX(0,D288+E288-F288),SUMIFS(SONDERZAHLUNGEN!$E$9:$E$128,SONDERZAHLUNGEN!$B$9:$B$128,C288,SONDERZAHLUNGEN!$C$9:$C$128,A288,SONDERZAHLUNGEN!$H$9:$H$128,"OK",SONDERZAHLUNGEN!$F$9:$F$128,"Ja")))</x:f>
      </x:c>
      <x:c r="H288" s="88" t="str">
        <x:f>IF(C288="","",MIN(MAX(0,D288+E288-F288-G288),MAX(0,IF(MONATSBUDGET!$C$21="",0,MONATSBUDGET!$C$21)-SUM(F280:F299)-SUM(H280:H287))))</x:f>
      </x:c>
      <x:c r="I288" s="88" t="str">
        <x:f>IF(C288="","",MAX(0,ROUND(D288+E288-F288-G288-H288,2)))</x:f>
      </x:c>
      <x:c r="J288" s="88" t="str">
        <x:f>IF(C288="","",F288+G288+H288)</x:f>
      </x:c>
      <x:c r="K288" s="88" t="str">
        <x:f>IF(C288="","",MAX(0,SUMIFS(SONDERZAHLUNGEN!$E$9:$E$128,SONDERZAHLUNGEN!$B$9:$B$128,C288,SONDERZAHLUNGEN!$C$9:$C$128,A288,SONDERZAHLUNGEN!$H$9:$H$128,"OK",SONDERZAHLUNGEN!$F$9:$F$128,"Ja")-G288))</x:f>
      </x:c>
    </x:row>
    <x:row r="289" ht="19" customHeight="1">
      <x:c r="A289" s="90" t="n">
        <x:f>MONATSBUDGET!$A$21</x:f>
        <x:v>46631</x:v>
      </x:c>
      <x:c r="B289" t="n">
        <x:f>10</x:f>
        <x:v>10</x:v>
      </x:c>
      <x:c r="C289" t="str">
        <x:f>IF($N$18="","",$N$18)</x:f>
      </x:c>
      <x:c r="D289" s="88" t="str">
        <x:f>IF(C289="","",I269)</x:f>
      </x:c>
      <x:c r="E289" s="88" t="str">
        <x:f>IF(C289="","",ROUND(D289*$P$18/12,2))</x:f>
      </x:c>
      <x:c r="F289" s="88" t="str">
        <x:f>IF(C289="","",MIN(D289+E289,$Q$18))</x:f>
      </x:c>
      <x:c r="G289" s="88" t="str">
        <x:f>IF(C289="","",MIN(MAX(0,D289+E289-F289),SUMIFS(SONDERZAHLUNGEN!$E$9:$E$128,SONDERZAHLUNGEN!$B$9:$B$128,C289,SONDERZAHLUNGEN!$C$9:$C$128,A289,SONDERZAHLUNGEN!$H$9:$H$128,"OK",SONDERZAHLUNGEN!$F$9:$F$128,"Ja")))</x:f>
      </x:c>
      <x:c r="H289" s="88" t="str">
        <x:f>IF(C289="","",MIN(MAX(0,D289+E289-F289-G289),MAX(0,IF(MONATSBUDGET!$C$21="",0,MONATSBUDGET!$C$21)-SUM(F280:F299)-SUM(H280:H288))))</x:f>
      </x:c>
      <x:c r="I289" s="88" t="str">
        <x:f>IF(C289="","",MAX(0,ROUND(D289+E289-F289-G289-H289,2)))</x:f>
      </x:c>
      <x:c r="J289" s="88" t="str">
        <x:f>IF(C289="","",F289+G289+H289)</x:f>
      </x:c>
      <x:c r="K289" s="88" t="str">
        <x:f>IF(C289="","",MAX(0,SUMIFS(SONDERZAHLUNGEN!$E$9:$E$128,SONDERZAHLUNGEN!$B$9:$B$128,C289,SONDERZAHLUNGEN!$C$9:$C$128,A289,SONDERZAHLUNGEN!$H$9:$H$128,"OK",SONDERZAHLUNGEN!$F$9:$F$128,"Ja")-G289))</x:f>
      </x:c>
    </x:row>
    <x:row r="290" ht="19" customHeight="1">
      <x:c r="A290" s="90" t="n">
        <x:f>MONATSBUDGET!$A$21</x:f>
        <x:v>46631</x:v>
      </x:c>
      <x:c r="B290" t="n">
        <x:f>11</x:f>
        <x:v>11</x:v>
      </x:c>
      <x:c r="C290" t="str">
        <x:f>IF($N$19="","",$N$19)</x:f>
      </x:c>
      <x:c r="D290" s="88" t="str">
        <x:f>IF(C290="","",I270)</x:f>
      </x:c>
      <x:c r="E290" s="88" t="str">
        <x:f>IF(C290="","",ROUND(D290*$P$19/12,2))</x:f>
      </x:c>
      <x:c r="F290" s="88" t="str">
        <x:f>IF(C290="","",MIN(D290+E290,$Q$19))</x:f>
      </x:c>
      <x:c r="G290" s="88" t="str">
        <x:f>IF(C290="","",MIN(MAX(0,D290+E290-F290),SUMIFS(SONDERZAHLUNGEN!$E$9:$E$128,SONDERZAHLUNGEN!$B$9:$B$128,C290,SONDERZAHLUNGEN!$C$9:$C$128,A290,SONDERZAHLUNGEN!$H$9:$H$128,"OK",SONDERZAHLUNGEN!$F$9:$F$128,"Ja")))</x:f>
      </x:c>
      <x:c r="H290" s="88" t="str">
        <x:f>IF(C290="","",MIN(MAX(0,D290+E290-F290-G290),MAX(0,IF(MONATSBUDGET!$C$21="",0,MONATSBUDGET!$C$21)-SUM(F280:F299)-SUM(H280:H289))))</x:f>
      </x:c>
      <x:c r="I290" s="88" t="str">
        <x:f>IF(C290="","",MAX(0,ROUND(D290+E290-F290-G290-H290,2)))</x:f>
      </x:c>
      <x:c r="J290" s="88" t="str">
        <x:f>IF(C290="","",F290+G290+H290)</x:f>
      </x:c>
      <x:c r="K290" s="88" t="str">
        <x:f>IF(C290="","",MAX(0,SUMIFS(SONDERZAHLUNGEN!$E$9:$E$128,SONDERZAHLUNGEN!$B$9:$B$128,C290,SONDERZAHLUNGEN!$C$9:$C$128,A290,SONDERZAHLUNGEN!$H$9:$H$128,"OK",SONDERZAHLUNGEN!$F$9:$F$128,"Ja")-G290))</x:f>
      </x:c>
    </x:row>
    <x:row r="291" ht="19" customHeight="1">
      <x:c r="A291" s="90" t="n">
        <x:f>MONATSBUDGET!$A$21</x:f>
        <x:v>46631</x:v>
      </x:c>
      <x:c r="B291" t="n">
        <x:f>12</x:f>
        <x:v>12</x:v>
      </x:c>
      <x:c r="C291" t="str">
        <x:f>IF($N$20="","",$N$20)</x:f>
      </x:c>
      <x:c r="D291" s="88" t="str">
        <x:f>IF(C291="","",I271)</x:f>
      </x:c>
      <x:c r="E291" s="88" t="str">
        <x:f>IF(C291="","",ROUND(D291*$P$20/12,2))</x:f>
      </x:c>
      <x:c r="F291" s="88" t="str">
        <x:f>IF(C291="","",MIN(D291+E291,$Q$20))</x:f>
      </x:c>
      <x:c r="G291" s="88" t="str">
        <x:f>IF(C291="","",MIN(MAX(0,D291+E291-F291),SUMIFS(SONDERZAHLUNGEN!$E$9:$E$128,SONDERZAHLUNGEN!$B$9:$B$128,C291,SONDERZAHLUNGEN!$C$9:$C$128,A291,SONDERZAHLUNGEN!$H$9:$H$128,"OK",SONDERZAHLUNGEN!$F$9:$F$128,"Ja")))</x:f>
      </x:c>
      <x:c r="H291" s="88" t="str">
        <x:f>IF(C291="","",MIN(MAX(0,D291+E291-F291-G291),MAX(0,IF(MONATSBUDGET!$C$21="",0,MONATSBUDGET!$C$21)-SUM(F280:F299)-SUM(H280:H290))))</x:f>
      </x:c>
      <x:c r="I291" s="88" t="str">
        <x:f>IF(C291="","",MAX(0,ROUND(D291+E291-F291-G291-H291,2)))</x:f>
      </x:c>
      <x:c r="J291" s="88" t="str">
        <x:f>IF(C291="","",F291+G291+H291)</x:f>
      </x:c>
      <x:c r="K291" s="88" t="str">
        <x:f>IF(C291="","",MAX(0,SUMIFS(SONDERZAHLUNGEN!$E$9:$E$128,SONDERZAHLUNGEN!$B$9:$B$128,C291,SONDERZAHLUNGEN!$C$9:$C$128,A291,SONDERZAHLUNGEN!$H$9:$H$128,"OK",SONDERZAHLUNGEN!$F$9:$F$128,"Ja")-G291))</x:f>
      </x:c>
    </x:row>
    <x:row r="292" ht="19" customHeight="1">
      <x:c r="A292" s="90" t="n">
        <x:f>MONATSBUDGET!$A$21</x:f>
        <x:v>46631</x:v>
      </x:c>
      <x:c r="B292" t="n">
        <x:f>13</x:f>
        <x:v>13</x:v>
      </x:c>
      <x:c r="C292" t="str">
        <x:f>IF($N$21="","",$N$21)</x:f>
      </x:c>
      <x:c r="D292" s="88" t="str">
        <x:f>IF(C292="","",I272)</x:f>
      </x:c>
      <x:c r="E292" s="88" t="str">
        <x:f>IF(C292="","",ROUND(D292*$P$21/12,2))</x:f>
      </x:c>
      <x:c r="F292" s="88" t="str">
        <x:f>IF(C292="","",MIN(D292+E292,$Q$21))</x:f>
      </x:c>
      <x:c r="G292" s="88" t="str">
        <x:f>IF(C292="","",MIN(MAX(0,D292+E292-F292),SUMIFS(SONDERZAHLUNGEN!$E$9:$E$128,SONDERZAHLUNGEN!$B$9:$B$128,C292,SONDERZAHLUNGEN!$C$9:$C$128,A292,SONDERZAHLUNGEN!$H$9:$H$128,"OK",SONDERZAHLUNGEN!$F$9:$F$128,"Ja")))</x:f>
      </x:c>
      <x:c r="H292" s="88" t="str">
        <x:f>IF(C292="","",MIN(MAX(0,D292+E292-F292-G292),MAX(0,IF(MONATSBUDGET!$C$21="",0,MONATSBUDGET!$C$21)-SUM(F280:F299)-SUM(H280:H291))))</x:f>
      </x:c>
      <x:c r="I292" s="88" t="str">
        <x:f>IF(C292="","",MAX(0,ROUND(D292+E292-F292-G292-H292,2)))</x:f>
      </x:c>
      <x:c r="J292" s="88" t="str">
        <x:f>IF(C292="","",F292+G292+H292)</x:f>
      </x:c>
      <x:c r="K292" s="88" t="str">
        <x:f>IF(C292="","",MAX(0,SUMIFS(SONDERZAHLUNGEN!$E$9:$E$128,SONDERZAHLUNGEN!$B$9:$B$128,C292,SONDERZAHLUNGEN!$C$9:$C$128,A292,SONDERZAHLUNGEN!$H$9:$H$128,"OK",SONDERZAHLUNGEN!$F$9:$F$128,"Ja")-G292))</x:f>
      </x:c>
    </x:row>
    <x:row r="293" ht="19" customHeight="1">
      <x:c r="A293" s="90" t="n">
        <x:f>MONATSBUDGET!$A$21</x:f>
        <x:v>46631</x:v>
      </x:c>
      <x:c r="B293" t="n">
        <x:f>14</x:f>
        <x:v>14</x:v>
      </x:c>
      <x:c r="C293" t="str">
        <x:f>IF($N$22="","",$N$22)</x:f>
      </x:c>
      <x:c r="D293" s="88" t="str">
        <x:f>IF(C293="","",I273)</x:f>
      </x:c>
      <x:c r="E293" s="88" t="str">
        <x:f>IF(C293="","",ROUND(D293*$P$22/12,2))</x:f>
      </x:c>
      <x:c r="F293" s="88" t="str">
        <x:f>IF(C293="","",MIN(D293+E293,$Q$22))</x:f>
      </x:c>
      <x:c r="G293" s="88" t="str">
        <x:f>IF(C293="","",MIN(MAX(0,D293+E293-F293),SUMIFS(SONDERZAHLUNGEN!$E$9:$E$128,SONDERZAHLUNGEN!$B$9:$B$128,C293,SONDERZAHLUNGEN!$C$9:$C$128,A293,SONDERZAHLUNGEN!$H$9:$H$128,"OK",SONDERZAHLUNGEN!$F$9:$F$128,"Ja")))</x:f>
      </x:c>
      <x:c r="H293" s="88" t="str">
        <x:f>IF(C293="","",MIN(MAX(0,D293+E293-F293-G293),MAX(0,IF(MONATSBUDGET!$C$21="",0,MONATSBUDGET!$C$21)-SUM(F280:F299)-SUM(H280:H292))))</x:f>
      </x:c>
      <x:c r="I293" s="88" t="str">
        <x:f>IF(C293="","",MAX(0,ROUND(D293+E293-F293-G293-H293,2)))</x:f>
      </x:c>
      <x:c r="J293" s="88" t="str">
        <x:f>IF(C293="","",F293+G293+H293)</x:f>
      </x:c>
      <x:c r="K293" s="88" t="str">
        <x:f>IF(C293="","",MAX(0,SUMIFS(SONDERZAHLUNGEN!$E$9:$E$128,SONDERZAHLUNGEN!$B$9:$B$128,C293,SONDERZAHLUNGEN!$C$9:$C$128,A293,SONDERZAHLUNGEN!$H$9:$H$128,"OK",SONDERZAHLUNGEN!$F$9:$F$128,"Ja")-G293))</x:f>
      </x:c>
    </x:row>
    <x:row r="294" ht="19" customHeight="1">
      <x:c r="A294" s="90" t="n">
        <x:f>MONATSBUDGET!$A$21</x:f>
        <x:v>46631</x:v>
      </x:c>
      <x:c r="B294" t="n">
        <x:f>15</x:f>
        <x:v>15</x:v>
      </x:c>
      <x:c r="C294" t="str">
        <x:f>IF($N$23="","",$N$23)</x:f>
      </x:c>
      <x:c r="D294" s="88" t="str">
        <x:f>IF(C294="","",I274)</x:f>
      </x:c>
      <x:c r="E294" s="88" t="str">
        <x:f>IF(C294="","",ROUND(D294*$P$23/12,2))</x:f>
      </x:c>
      <x:c r="F294" s="88" t="str">
        <x:f>IF(C294="","",MIN(D294+E294,$Q$23))</x:f>
      </x:c>
      <x:c r="G294" s="88" t="str">
        <x:f>IF(C294="","",MIN(MAX(0,D294+E294-F294),SUMIFS(SONDERZAHLUNGEN!$E$9:$E$128,SONDERZAHLUNGEN!$B$9:$B$128,C294,SONDERZAHLUNGEN!$C$9:$C$128,A294,SONDERZAHLUNGEN!$H$9:$H$128,"OK",SONDERZAHLUNGEN!$F$9:$F$128,"Ja")))</x:f>
      </x:c>
      <x:c r="H294" s="88" t="str">
        <x:f>IF(C294="","",MIN(MAX(0,D294+E294-F294-G294),MAX(0,IF(MONATSBUDGET!$C$21="",0,MONATSBUDGET!$C$21)-SUM(F280:F299)-SUM(H280:H293))))</x:f>
      </x:c>
      <x:c r="I294" s="88" t="str">
        <x:f>IF(C294="","",MAX(0,ROUND(D294+E294-F294-G294-H294,2)))</x:f>
      </x:c>
      <x:c r="J294" s="88" t="str">
        <x:f>IF(C294="","",F294+G294+H294)</x:f>
      </x:c>
      <x:c r="K294" s="88" t="str">
        <x:f>IF(C294="","",MAX(0,SUMIFS(SONDERZAHLUNGEN!$E$9:$E$128,SONDERZAHLUNGEN!$B$9:$B$128,C294,SONDERZAHLUNGEN!$C$9:$C$128,A294,SONDERZAHLUNGEN!$H$9:$H$128,"OK",SONDERZAHLUNGEN!$F$9:$F$128,"Ja")-G294))</x:f>
      </x:c>
    </x:row>
    <x:row r="295" ht="19" customHeight="1">
      <x:c r="A295" s="90" t="n">
        <x:f>MONATSBUDGET!$A$21</x:f>
        <x:v>46631</x:v>
      </x:c>
      <x:c r="B295" t="n">
        <x:f>16</x:f>
        <x:v>16</x:v>
      </x:c>
      <x:c r="C295" t="str">
        <x:f>IF($N$24="","",$N$24)</x:f>
      </x:c>
      <x:c r="D295" s="88" t="str">
        <x:f>IF(C295="","",I275)</x:f>
      </x:c>
      <x:c r="E295" s="88" t="str">
        <x:f>IF(C295="","",ROUND(D295*$P$24/12,2))</x:f>
      </x:c>
      <x:c r="F295" s="88" t="str">
        <x:f>IF(C295="","",MIN(D295+E295,$Q$24))</x:f>
      </x:c>
      <x:c r="G295" s="88" t="str">
        <x:f>IF(C295="","",MIN(MAX(0,D295+E295-F295),SUMIFS(SONDERZAHLUNGEN!$E$9:$E$128,SONDERZAHLUNGEN!$B$9:$B$128,C295,SONDERZAHLUNGEN!$C$9:$C$128,A295,SONDERZAHLUNGEN!$H$9:$H$128,"OK",SONDERZAHLUNGEN!$F$9:$F$128,"Ja")))</x:f>
      </x:c>
      <x:c r="H295" s="88" t="str">
        <x:f>IF(C295="","",MIN(MAX(0,D295+E295-F295-G295),MAX(0,IF(MONATSBUDGET!$C$21="",0,MONATSBUDGET!$C$21)-SUM(F280:F299)-SUM(H280:H294))))</x:f>
      </x:c>
      <x:c r="I295" s="88" t="str">
        <x:f>IF(C295="","",MAX(0,ROUND(D295+E295-F295-G295-H295,2)))</x:f>
      </x:c>
      <x:c r="J295" s="88" t="str">
        <x:f>IF(C295="","",F295+G295+H295)</x:f>
      </x:c>
      <x:c r="K295" s="88" t="str">
        <x:f>IF(C295="","",MAX(0,SUMIFS(SONDERZAHLUNGEN!$E$9:$E$128,SONDERZAHLUNGEN!$B$9:$B$128,C295,SONDERZAHLUNGEN!$C$9:$C$128,A295,SONDERZAHLUNGEN!$H$9:$H$128,"OK",SONDERZAHLUNGEN!$F$9:$F$128,"Ja")-G295))</x:f>
      </x:c>
    </x:row>
    <x:row r="296" ht="19" customHeight="1">
      <x:c r="A296" s="90" t="n">
        <x:f>MONATSBUDGET!$A$21</x:f>
        <x:v>46631</x:v>
      </x:c>
      <x:c r="B296" t="n">
        <x:f>17</x:f>
        <x:v>17</x:v>
      </x:c>
      <x:c r="C296" t="str">
        <x:f>IF($N$25="","",$N$25)</x:f>
      </x:c>
      <x:c r="D296" s="88" t="str">
        <x:f>IF(C296="","",I276)</x:f>
      </x:c>
      <x:c r="E296" s="88" t="str">
        <x:f>IF(C296="","",ROUND(D296*$P$25/12,2))</x:f>
      </x:c>
      <x:c r="F296" s="88" t="str">
        <x:f>IF(C296="","",MIN(D296+E296,$Q$25))</x:f>
      </x:c>
      <x:c r="G296" s="88" t="str">
        <x:f>IF(C296="","",MIN(MAX(0,D296+E296-F296),SUMIFS(SONDERZAHLUNGEN!$E$9:$E$128,SONDERZAHLUNGEN!$B$9:$B$128,C296,SONDERZAHLUNGEN!$C$9:$C$128,A296,SONDERZAHLUNGEN!$H$9:$H$128,"OK",SONDERZAHLUNGEN!$F$9:$F$128,"Ja")))</x:f>
      </x:c>
      <x:c r="H296" s="88" t="str">
        <x:f>IF(C296="","",MIN(MAX(0,D296+E296-F296-G296),MAX(0,IF(MONATSBUDGET!$C$21="",0,MONATSBUDGET!$C$21)-SUM(F280:F299)-SUM(H280:H295))))</x:f>
      </x:c>
      <x:c r="I296" s="88" t="str">
        <x:f>IF(C296="","",MAX(0,ROUND(D296+E296-F296-G296-H296,2)))</x:f>
      </x:c>
      <x:c r="J296" s="88" t="str">
        <x:f>IF(C296="","",F296+G296+H296)</x:f>
      </x:c>
      <x:c r="K296" s="88" t="str">
        <x:f>IF(C296="","",MAX(0,SUMIFS(SONDERZAHLUNGEN!$E$9:$E$128,SONDERZAHLUNGEN!$B$9:$B$128,C296,SONDERZAHLUNGEN!$C$9:$C$128,A296,SONDERZAHLUNGEN!$H$9:$H$128,"OK",SONDERZAHLUNGEN!$F$9:$F$128,"Ja")-G296))</x:f>
      </x:c>
    </x:row>
    <x:row r="297" ht="19" customHeight="1">
      <x:c r="A297" s="90" t="n">
        <x:f>MONATSBUDGET!$A$21</x:f>
        <x:v>46631</x:v>
      </x:c>
      <x:c r="B297" t="n">
        <x:f>18</x:f>
        <x:v>18</x:v>
      </x:c>
      <x:c r="C297" t="str">
        <x:f>IF($N$26="","",$N$26)</x:f>
      </x:c>
      <x:c r="D297" s="88" t="str">
        <x:f>IF(C297="","",I277)</x:f>
      </x:c>
      <x:c r="E297" s="88" t="str">
        <x:f>IF(C297="","",ROUND(D297*$P$26/12,2))</x:f>
      </x:c>
      <x:c r="F297" s="88" t="str">
        <x:f>IF(C297="","",MIN(D297+E297,$Q$26))</x:f>
      </x:c>
      <x:c r="G297" s="88" t="str">
        <x:f>IF(C297="","",MIN(MAX(0,D297+E297-F297),SUMIFS(SONDERZAHLUNGEN!$E$9:$E$128,SONDERZAHLUNGEN!$B$9:$B$128,C297,SONDERZAHLUNGEN!$C$9:$C$128,A297,SONDERZAHLUNGEN!$H$9:$H$128,"OK",SONDERZAHLUNGEN!$F$9:$F$128,"Ja")))</x:f>
      </x:c>
      <x:c r="H297" s="88" t="str">
        <x:f>IF(C297="","",MIN(MAX(0,D297+E297-F297-G297),MAX(0,IF(MONATSBUDGET!$C$21="",0,MONATSBUDGET!$C$21)-SUM(F280:F299)-SUM(H280:H296))))</x:f>
      </x:c>
      <x:c r="I297" s="88" t="str">
        <x:f>IF(C297="","",MAX(0,ROUND(D297+E297-F297-G297-H297,2)))</x:f>
      </x:c>
      <x:c r="J297" s="88" t="str">
        <x:f>IF(C297="","",F297+G297+H297)</x:f>
      </x:c>
      <x:c r="K297" s="88" t="str">
        <x:f>IF(C297="","",MAX(0,SUMIFS(SONDERZAHLUNGEN!$E$9:$E$128,SONDERZAHLUNGEN!$B$9:$B$128,C297,SONDERZAHLUNGEN!$C$9:$C$128,A297,SONDERZAHLUNGEN!$H$9:$H$128,"OK",SONDERZAHLUNGEN!$F$9:$F$128,"Ja")-G297))</x:f>
      </x:c>
    </x:row>
    <x:row r="298" ht="19" customHeight="1">
      <x:c r="A298" s="90" t="n">
        <x:f>MONATSBUDGET!$A$21</x:f>
        <x:v>46631</x:v>
      </x:c>
      <x:c r="B298" t="n">
        <x:f>19</x:f>
        <x:v>19</x:v>
      </x:c>
      <x:c r="C298" t="str">
        <x:f>IF($N$27="","",$N$27)</x:f>
      </x:c>
      <x:c r="D298" s="88" t="str">
        <x:f>IF(C298="","",I278)</x:f>
      </x:c>
      <x:c r="E298" s="88" t="str">
        <x:f>IF(C298="","",ROUND(D298*$P$27/12,2))</x:f>
      </x:c>
      <x:c r="F298" s="88" t="str">
        <x:f>IF(C298="","",MIN(D298+E298,$Q$27))</x:f>
      </x:c>
      <x:c r="G298" s="88" t="str">
        <x:f>IF(C298="","",MIN(MAX(0,D298+E298-F298),SUMIFS(SONDERZAHLUNGEN!$E$9:$E$128,SONDERZAHLUNGEN!$B$9:$B$128,C298,SONDERZAHLUNGEN!$C$9:$C$128,A298,SONDERZAHLUNGEN!$H$9:$H$128,"OK",SONDERZAHLUNGEN!$F$9:$F$128,"Ja")))</x:f>
      </x:c>
      <x:c r="H298" s="88" t="str">
        <x:f>IF(C298="","",MIN(MAX(0,D298+E298-F298-G298),MAX(0,IF(MONATSBUDGET!$C$21="",0,MONATSBUDGET!$C$21)-SUM(F280:F299)-SUM(H280:H297))))</x:f>
      </x:c>
      <x:c r="I298" s="88" t="str">
        <x:f>IF(C298="","",MAX(0,ROUND(D298+E298-F298-G298-H298,2)))</x:f>
      </x:c>
      <x:c r="J298" s="88" t="str">
        <x:f>IF(C298="","",F298+G298+H298)</x:f>
      </x:c>
      <x:c r="K298" s="88" t="str">
        <x:f>IF(C298="","",MAX(0,SUMIFS(SONDERZAHLUNGEN!$E$9:$E$128,SONDERZAHLUNGEN!$B$9:$B$128,C298,SONDERZAHLUNGEN!$C$9:$C$128,A298,SONDERZAHLUNGEN!$H$9:$H$128,"OK",SONDERZAHLUNGEN!$F$9:$F$128,"Ja")-G298))</x:f>
      </x:c>
    </x:row>
    <x:row r="299" ht="19" customHeight="1">
      <x:c r="A299" s="90" t="n">
        <x:f>MONATSBUDGET!$A$21</x:f>
        <x:v>46631</x:v>
      </x:c>
      <x:c r="B299" t="n">
        <x:f>20</x:f>
        <x:v>20</x:v>
      </x:c>
      <x:c r="C299" t="str">
        <x:f>IF($N$28="","",$N$28)</x:f>
      </x:c>
      <x:c r="D299" s="88" t="str">
        <x:f>IF(C299="","",I279)</x:f>
      </x:c>
      <x:c r="E299" s="88" t="str">
        <x:f>IF(C299="","",ROUND(D299*$P$28/12,2))</x:f>
      </x:c>
      <x:c r="F299" s="88" t="str">
        <x:f>IF(C299="","",MIN(D299+E299,$Q$28))</x:f>
      </x:c>
      <x:c r="G299" s="88" t="str">
        <x:f>IF(C299="","",MIN(MAX(0,D299+E299-F299),SUMIFS(SONDERZAHLUNGEN!$E$9:$E$128,SONDERZAHLUNGEN!$B$9:$B$128,C299,SONDERZAHLUNGEN!$C$9:$C$128,A299,SONDERZAHLUNGEN!$H$9:$H$128,"OK",SONDERZAHLUNGEN!$F$9:$F$128,"Ja")))</x:f>
      </x:c>
      <x:c r="H299" s="88" t="str">
        <x:f>IF(C299="","",MIN(MAX(0,D299+E299-F299-G299),MAX(0,IF(MONATSBUDGET!$C$21="",0,MONATSBUDGET!$C$21)-SUM(F280:F299)-SUM(H280:H298))))</x:f>
      </x:c>
      <x:c r="I299" s="88" t="str">
        <x:f>IF(C299="","",MAX(0,ROUND(D299+E299-F299-G299-H299,2)))</x:f>
      </x:c>
      <x:c r="J299" s="88" t="str">
        <x:f>IF(C299="","",F299+G299+H299)</x:f>
      </x:c>
      <x:c r="K299" s="88" t="str">
        <x:f>IF(C299="","",MAX(0,SUMIFS(SONDERZAHLUNGEN!$E$9:$E$128,SONDERZAHLUNGEN!$B$9:$B$128,C299,SONDERZAHLUNGEN!$C$9:$C$128,A299,SONDERZAHLUNGEN!$H$9:$H$128,"OK",SONDERZAHLUNGEN!$F$9:$F$128,"Ja")-G299))</x:f>
      </x:c>
    </x:row>
    <x:row r="300" ht="19" customHeight="1">
      <x:c r="A300" s="90" t="n">
        <x:f>MONATSBUDGET!$A$22</x:f>
        <x:v>46661</x:v>
      </x:c>
      <x:c r="B300" t="n">
        <x:f>1</x:f>
        <x:v>1</x:v>
      </x:c>
      <x:c r="C300" t="str">
        <x:f>IF($N$9="","",$N$9)</x:f>
      </x:c>
      <x:c r="D300" s="88" t="str">
        <x:f>IF(C300="","",I280)</x:f>
      </x:c>
      <x:c r="E300" s="88" t="str">
        <x:f>IF(C300="","",ROUND(D300*$P$9/12,2))</x:f>
      </x:c>
      <x:c r="F300" s="88" t="str">
        <x:f>IF(C300="","",MIN(D300+E300,$Q$9))</x:f>
      </x:c>
      <x:c r="G300" s="88" t="str">
        <x:f>IF(C300="","",MIN(MAX(0,D300+E300-F300),SUMIFS(SONDERZAHLUNGEN!$E$9:$E$128,SONDERZAHLUNGEN!$B$9:$B$128,C300,SONDERZAHLUNGEN!$C$9:$C$128,A300,SONDERZAHLUNGEN!$H$9:$H$128,"OK",SONDERZAHLUNGEN!$F$9:$F$128,"Ja")))</x:f>
      </x:c>
      <x:c r="H300" s="88" t="str">
        <x:f>IF(C300="","",MIN(MAX(0,D300+E300-F300-G300),MAX(0,IF(MONATSBUDGET!$C$22="",0,MONATSBUDGET!$C$22)-SUM(F300:F319)-0)))</x:f>
      </x:c>
      <x:c r="I300" s="88" t="str">
        <x:f>IF(C300="","",MAX(0,ROUND(D300+E300-F300-G300-H300,2)))</x:f>
      </x:c>
      <x:c r="J300" s="88" t="str">
        <x:f>IF(C300="","",F300+G300+H300)</x:f>
      </x:c>
      <x:c r="K300" s="88" t="str">
        <x:f>IF(C300="","",MAX(0,SUMIFS(SONDERZAHLUNGEN!$E$9:$E$128,SONDERZAHLUNGEN!$B$9:$B$128,C300,SONDERZAHLUNGEN!$C$9:$C$128,A300,SONDERZAHLUNGEN!$H$9:$H$128,"OK",SONDERZAHLUNGEN!$F$9:$F$128,"Ja")-G300))</x:f>
      </x:c>
    </x:row>
    <x:row r="301" ht="19" customHeight="1">
      <x:c r="A301" s="90" t="n">
        <x:f>MONATSBUDGET!$A$22</x:f>
        <x:v>46661</x:v>
      </x:c>
      <x:c r="B301" t="n">
        <x:f>2</x:f>
        <x:v>2</x:v>
      </x:c>
      <x:c r="C301" t="str">
        <x:f>IF($N$10="","",$N$10)</x:f>
      </x:c>
      <x:c r="D301" s="88" t="str">
        <x:f>IF(C301="","",I281)</x:f>
      </x:c>
      <x:c r="E301" s="88" t="str">
        <x:f>IF(C301="","",ROUND(D301*$P$10/12,2))</x:f>
      </x:c>
      <x:c r="F301" s="88" t="str">
        <x:f>IF(C301="","",MIN(D301+E301,$Q$10))</x:f>
      </x:c>
      <x:c r="G301" s="88" t="str">
        <x:f>IF(C301="","",MIN(MAX(0,D301+E301-F301),SUMIFS(SONDERZAHLUNGEN!$E$9:$E$128,SONDERZAHLUNGEN!$B$9:$B$128,C301,SONDERZAHLUNGEN!$C$9:$C$128,A301,SONDERZAHLUNGEN!$H$9:$H$128,"OK",SONDERZAHLUNGEN!$F$9:$F$128,"Ja")))</x:f>
      </x:c>
      <x:c r="H301" s="88" t="str">
        <x:f>IF(C301="","",MIN(MAX(0,D301+E301-F301-G301),MAX(0,IF(MONATSBUDGET!$C$22="",0,MONATSBUDGET!$C$22)-SUM(F300:F319)-SUM(H300:H300))))</x:f>
      </x:c>
      <x:c r="I301" s="88" t="str">
        <x:f>IF(C301="","",MAX(0,ROUND(D301+E301-F301-G301-H301,2)))</x:f>
      </x:c>
      <x:c r="J301" s="88" t="str">
        <x:f>IF(C301="","",F301+G301+H301)</x:f>
      </x:c>
      <x:c r="K301" s="88" t="str">
        <x:f>IF(C301="","",MAX(0,SUMIFS(SONDERZAHLUNGEN!$E$9:$E$128,SONDERZAHLUNGEN!$B$9:$B$128,C301,SONDERZAHLUNGEN!$C$9:$C$128,A301,SONDERZAHLUNGEN!$H$9:$H$128,"OK",SONDERZAHLUNGEN!$F$9:$F$128,"Ja")-G301))</x:f>
      </x:c>
    </x:row>
    <x:row r="302" ht="19" customHeight="1">
      <x:c r="A302" s="90" t="n">
        <x:f>MONATSBUDGET!$A$22</x:f>
        <x:v>46661</x:v>
      </x:c>
      <x:c r="B302" t="n">
        <x:f>3</x:f>
        <x:v>3</x:v>
      </x:c>
      <x:c r="C302" t="str">
        <x:f>IF($N$11="","",$N$11)</x:f>
      </x:c>
      <x:c r="D302" s="88" t="str">
        <x:f>IF(C302="","",I282)</x:f>
      </x:c>
      <x:c r="E302" s="88" t="str">
        <x:f>IF(C302="","",ROUND(D302*$P$11/12,2))</x:f>
      </x:c>
      <x:c r="F302" s="88" t="str">
        <x:f>IF(C302="","",MIN(D302+E302,$Q$11))</x:f>
      </x:c>
      <x:c r="G302" s="88" t="str">
        <x:f>IF(C302="","",MIN(MAX(0,D302+E302-F302),SUMIFS(SONDERZAHLUNGEN!$E$9:$E$128,SONDERZAHLUNGEN!$B$9:$B$128,C302,SONDERZAHLUNGEN!$C$9:$C$128,A302,SONDERZAHLUNGEN!$H$9:$H$128,"OK",SONDERZAHLUNGEN!$F$9:$F$128,"Ja")))</x:f>
      </x:c>
      <x:c r="H302" s="88" t="str">
        <x:f>IF(C302="","",MIN(MAX(0,D302+E302-F302-G302),MAX(0,IF(MONATSBUDGET!$C$22="",0,MONATSBUDGET!$C$22)-SUM(F300:F319)-SUM(H300:H301))))</x:f>
      </x:c>
      <x:c r="I302" s="88" t="str">
        <x:f>IF(C302="","",MAX(0,ROUND(D302+E302-F302-G302-H302,2)))</x:f>
      </x:c>
      <x:c r="J302" s="88" t="str">
        <x:f>IF(C302="","",F302+G302+H302)</x:f>
      </x:c>
      <x:c r="K302" s="88" t="str">
        <x:f>IF(C302="","",MAX(0,SUMIFS(SONDERZAHLUNGEN!$E$9:$E$128,SONDERZAHLUNGEN!$B$9:$B$128,C302,SONDERZAHLUNGEN!$C$9:$C$128,A302,SONDERZAHLUNGEN!$H$9:$H$128,"OK",SONDERZAHLUNGEN!$F$9:$F$128,"Ja")-G302))</x:f>
      </x:c>
    </x:row>
    <x:row r="303" ht="19" customHeight="1">
      <x:c r="A303" s="90" t="n">
        <x:f>MONATSBUDGET!$A$22</x:f>
        <x:v>46661</x:v>
      </x:c>
      <x:c r="B303" t="n">
        <x:f>4</x:f>
        <x:v>4</x:v>
      </x:c>
      <x:c r="C303" t="str">
        <x:f>IF($N$12="","",$N$12)</x:f>
      </x:c>
      <x:c r="D303" s="88" t="str">
        <x:f>IF(C303="","",I283)</x:f>
      </x:c>
      <x:c r="E303" s="88" t="str">
        <x:f>IF(C303="","",ROUND(D303*$P$12/12,2))</x:f>
      </x:c>
      <x:c r="F303" s="88" t="str">
        <x:f>IF(C303="","",MIN(D303+E303,$Q$12))</x:f>
      </x:c>
      <x:c r="G303" s="88" t="str">
        <x:f>IF(C303="","",MIN(MAX(0,D303+E303-F303),SUMIFS(SONDERZAHLUNGEN!$E$9:$E$128,SONDERZAHLUNGEN!$B$9:$B$128,C303,SONDERZAHLUNGEN!$C$9:$C$128,A303,SONDERZAHLUNGEN!$H$9:$H$128,"OK",SONDERZAHLUNGEN!$F$9:$F$128,"Ja")))</x:f>
      </x:c>
      <x:c r="H303" s="88" t="str">
        <x:f>IF(C303="","",MIN(MAX(0,D303+E303-F303-G303),MAX(0,IF(MONATSBUDGET!$C$22="",0,MONATSBUDGET!$C$22)-SUM(F300:F319)-SUM(H300:H302))))</x:f>
      </x:c>
      <x:c r="I303" s="88" t="str">
        <x:f>IF(C303="","",MAX(0,ROUND(D303+E303-F303-G303-H303,2)))</x:f>
      </x:c>
      <x:c r="J303" s="88" t="str">
        <x:f>IF(C303="","",F303+G303+H303)</x:f>
      </x:c>
      <x:c r="K303" s="88" t="str">
        <x:f>IF(C303="","",MAX(0,SUMIFS(SONDERZAHLUNGEN!$E$9:$E$128,SONDERZAHLUNGEN!$B$9:$B$128,C303,SONDERZAHLUNGEN!$C$9:$C$128,A303,SONDERZAHLUNGEN!$H$9:$H$128,"OK",SONDERZAHLUNGEN!$F$9:$F$128,"Ja")-G303))</x:f>
      </x:c>
    </x:row>
    <x:row r="304" ht="19" customHeight="1">
      <x:c r="A304" s="90" t="n">
        <x:f>MONATSBUDGET!$A$22</x:f>
        <x:v>46661</x:v>
      </x:c>
      <x:c r="B304" t="n">
        <x:f>5</x:f>
        <x:v>5</x:v>
      </x:c>
      <x:c r="C304" t="str">
        <x:f>IF($N$13="","",$N$13)</x:f>
      </x:c>
      <x:c r="D304" s="88" t="str">
        <x:f>IF(C304="","",I284)</x:f>
      </x:c>
      <x:c r="E304" s="88" t="str">
        <x:f>IF(C304="","",ROUND(D304*$P$13/12,2))</x:f>
      </x:c>
      <x:c r="F304" s="88" t="str">
        <x:f>IF(C304="","",MIN(D304+E304,$Q$13))</x:f>
      </x:c>
      <x:c r="G304" s="88" t="str">
        <x:f>IF(C304="","",MIN(MAX(0,D304+E304-F304),SUMIFS(SONDERZAHLUNGEN!$E$9:$E$128,SONDERZAHLUNGEN!$B$9:$B$128,C304,SONDERZAHLUNGEN!$C$9:$C$128,A304,SONDERZAHLUNGEN!$H$9:$H$128,"OK",SONDERZAHLUNGEN!$F$9:$F$128,"Ja")))</x:f>
      </x:c>
      <x:c r="H304" s="88" t="str">
        <x:f>IF(C304="","",MIN(MAX(0,D304+E304-F304-G304),MAX(0,IF(MONATSBUDGET!$C$22="",0,MONATSBUDGET!$C$22)-SUM(F300:F319)-SUM(H300:H303))))</x:f>
      </x:c>
      <x:c r="I304" s="88" t="str">
        <x:f>IF(C304="","",MAX(0,ROUND(D304+E304-F304-G304-H304,2)))</x:f>
      </x:c>
      <x:c r="J304" s="88" t="str">
        <x:f>IF(C304="","",F304+G304+H304)</x:f>
      </x:c>
      <x:c r="K304" s="88" t="str">
        <x:f>IF(C304="","",MAX(0,SUMIFS(SONDERZAHLUNGEN!$E$9:$E$128,SONDERZAHLUNGEN!$B$9:$B$128,C304,SONDERZAHLUNGEN!$C$9:$C$128,A304,SONDERZAHLUNGEN!$H$9:$H$128,"OK",SONDERZAHLUNGEN!$F$9:$F$128,"Ja")-G304))</x:f>
      </x:c>
    </x:row>
    <x:row r="305" ht="19" customHeight="1">
      <x:c r="A305" s="90" t="n">
        <x:f>MONATSBUDGET!$A$22</x:f>
        <x:v>46661</x:v>
      </x:c>
      <x:c r="B305" t="n">
        <x:f>6</x:f>
        <x:v>6</x:v>
      </x:c>
      <x:c r="C305" t="str">
        <x:f>IF($N$14="","",$N$14)</x:f>
      </x:c>
      <x:c r="D305" s="88" t="str">
        <x:f>IF(C305="","",I285)</x:f>
      </x:c>
      <x:c r="E305" s="88" t="str">
        <x:f>IF(C305="","",ROUND(D305*$P$14/12,2))</x:f>
      </x:c>
      <x:c r="F305" s="88" t="str">
        <x:f>IF(C305="","",MIN(D305+E305,$Q$14))</x:f>
      </x:c>
      <x:c r="G305" s="88" t="str">
        <x:f>IF(C305="","",MIN(MAX(0,D305+E305-F305),SUMIFS(SONDERZAHLUNGEN!$E$9:$E$128,SONDERZAHLUNGEN!$B$9:$B$128,C305,SONDERZAHLUNGEN!$C$9:$C$128,A305,SONDERZAHLUNGEN!$H$9:$H$128,"OK",SONDERZAHLUNGEN!$F$9:$F$128,"Ja")))</x:f>
      </x:c>
      <x:c r="H305" s="88" t="str">
        <x:f>IF(C305="","",MIN(MAX(0,D305+E305-F305-G305),MAX(0,IF(MONATSBUDGET!$C$22="",0,MONATSBUDGET!$C$22)-SUM(F300:F319)-SUM(H300:H304))))</x:f>
      </x:c>
      <x:c r="I305" s="88" t="str">
        <x:f>IF(C305="","",MAX(0,ROUND(D305+E305-F305-G305-H305,2)))</x:f>
      </x:c>
      <x:c r="J305" s="88" t="str">
        <x:f>IF(C305="","",F305+G305+H305)</x:f>
      </x:c>
      <x:c r="K305" s="88" t="str">
        <x:f>IF(C305="","",MAX(0,SUMIFS(SONDERZAHLUNGEN!$E$9:$E$128,SONDERZAHLUNGEN!$B$9:$B$128,C305,SONDERZAHLUNGEN!$C$9:$C$128,A305,SONDERZAHLUNGEN!$H$9:$H$128,"OK",SONDERZAHLUNGEN!$F$9:$F$128,"Ja")-G305))</x:f>
      </x:c>
    </x:row>
    <x:row r="306" ht="19" customHeight="1">
      <x:c r="A306" s="90" t="n">
        <x:f>MONATSBUDGET!$A$22</x:f>
        <x:v>46661</x:v>
      </x:c>
      <x:c r="B306" t="n">
        <x:f>7</x:f>
        <x:v>7</x:v>
      </x:c>
      <x:c r="C306" t="str">
        <x:f>IF($N$15="","",$N$15)</x:f>
      </x:c>
      <x:c r="D306" s="88" t="str">
        <x:f>IF(C306="","",I286)</x:f>
      </x:c>
      <x:c r="E306" s="88" t="str">
        <x:f>IF(C306="","",ROUND(D306*$P$15/12,2))</x:f>
      </x:c>
      <x:c r="F306" s="88" t="str">
        <x:f>IF(C306="","",MIN(D306+E306,$Q$15))</x:f>
      </x:c>
      <x:c r="G306" s="88" t="str">
        <x:f>IF(C306="","",MIN(MAX(0,D306+E306-F306),SUMIFS(SONDERZAHLUNGEN!$E$9:$E$128,SONDERZAHLUNGEN!$B$9:$B$128,C306,SONDERZAHLUNGEN!$C$9:$C$128,A306,SONDERZAHLUNGEN!$H$9:$H$128,"OK",SONDERZAHLUNGEN!$F$9:$F$128,"Ja")))</x:f>
      </x:c>
      <x:c r="H306" s="88" t="str">
        <x:f>IF(C306="","",MIN(MAX(0,D306+E306-F306-G306),MAX(0,IF(MONATSBUDGET!$C$22="",0,MONATSBUDGET!$C$22)-SUM(F300:F319)-SUM(H300:H305))))</x:f>
      </x:c>
      <x:c r="I306" s="88" t="str">
        <x:f>IF(C306="","",MAX(0,ROUND(D306+E306-F306-G306-H306,2)))</x:f>
      </x:c>
      <x:c r="J306" s="88" t="str">
        <x:f>IF(C306="","",F306+G306+H306)</x:f>
      </x:c>
      <x:c r="K306" s="88" t="str">
        <x:f>IF(C306="","",MAX(0,SUMIFS(SONDERZAHLUNGEN!$E$9:$E$128,SONDERZAHLUNGEN!$B$9:$B$128,C306,SONDERZAHLUNGEN!$C$9:$C$128,A306,SONDERZAHLUNGEN!$H$9:$H$128,"OK",SONDERZAHLUNGEN!$F$9:$F$128,"Ja")-G306))</x:f>
      </x:c>
    </x:row>
    <x:row r="307" ht="19" customHeight="1">
      <x:c r="A307" s="90" t="n">
        <x:f>MONATSBUDGET!$A$22</x:f>
        <x:v>46661</x:v>
      </x:c>
      <x:c r="B307" t="n">
        <x:f>8</x:f>
        <x:v>8</x:v>
      </x:c>
      <x:c r="C307" t="str">
        <x:f>IF($N$16="","",$N$16)</x:f>
      </x:c>
      <x:c r="D307" s="88" t="str">
        <x:f>IF(C307="","",I287)</x:f>
      </x:c>
      <x:c r="E307" s="88" t="str">
        <x:f>IF(C307="","",ROUND(D307*$P$16/12,2))</x:f>
      </x:c>
      <x:c r="F307" s="88" t="str">
        <x:f>IF(C307="","",MIN(D307+E307,$Q$16))</x:f>
      </x:c>
      <x:c r="G307" s="88" t="str">
        <x:f>IF(C307="","",MIN(MAX(0,D307+E307-F307),SUMIFS(SONDERZAHLUNGEN!$E$9:$E$128,SONDERZAHLUNGEN!$B$9:$B$128,C307,SONDERZAHLUNGEN!$C$9:$C$128,A307,SONDERZAHLUNGEN!$H$9:$H$128,"OK",SONDERZAHLUNGEN!$F$9:$F$128,"Ja")))</x:f>
      </x:c>
      <x:c r="H307" s="88" t="str">
        <x:f>IF(C307="","",MIN(MAX(0,D307+E307-F307-G307),MAX(0,IF(MONATSBUDGET!$C$22="",0,MONATSBUDGET!$C$22)-SUM(F300:F319)-SUM(H300:H306))))</x:f>
      </x:c>
      <x:c r="I307" s="88" t="str">
        <x:f>IF(C307="","",MAX(0,ROUND(D307+E307-F307-G307-H307,2)))</x:f>
      </x:c>
      <x:c r="J307" s="88" t="str">
        <x:f>IF(C307="","",F307+G307+H307)</x:f>
      </x:c>
      <x:c r="K307" s="88" t="str">
        <x:f>IF(C307="","",MAX(0,SUMIFS(SONDERZAHLUNGEN!$E$9:$E$128,SONDERZAHLUNGEN!$B$9:$B$128,C307,SONDERZAHLUNGEN!$C$9:$C$128,A307,SONDERZAHLUNGEN!$H$9:$H$128,"OK",SONDERZAHLUNGEN!$F$9:$F$128,"Ja")-G307))</x:f>
      </x:c>
    </x:row>
    <x:row r="308" ht="19" customHeight="1">
      <x:c r="A308" s="90" t="n">
        <x:f>MONATSBUDGET!$A$22</x:f>
        <x:v>46661</x:v>
      </x:c>
      <x:c r="B308" t="n">
        <x:f>9</x:f>
        <x:v>9</x:v>
      </x:c>
      <x:c r="C308" t="str">
        <x:f>IF($N$17="","",$N$17)</x:f>
      </x:c>
      <x:c r="D308" s="88" t="str">
        <x:f>IF(C308="","",I288)</x:f>
      </x:c>
      <x:c r="E308" s="88" t="str">
        <x:f>IF(C308="","",ROUND(D308*$P$17/12,2))</x:f>
      </x:c>
      <x:c r="F308" s="88" t="str">
        <x:f>IF(C308="","",MIN(D308+E308,$Q$17))</x:f>
      </x:c>
      <x:c r="G308" s="88" t="str">
        <x:f>IF(C308="","",MIN(MAX(0,D308+E308-F308),SUMIFS(SONDERZAHLUNGEN!$E$9:$E$128,SONDERZAHLUNGEN!$B$9:$B$128,C308,SONDERZAHLUNGEN!$C$9:$C$128,A308,SONDERZAHLUNGEN!$H$9:$H$128,"OK",SONDERZAHLUNGEN!$F$9:$F$128,"Ja")))</x:f>
      </x:c>
      <x:c r="H308" s="88" t="str">
        <x:f>IF(C308="","",MIN(MAX(0,D308+E308-F308-G308),MAX(0,IF(MONATSBUDGET!$C$22="",0,MONATSBUDGET!$C$22)-SUM(F300:F319)-SUM(H300:H307))))</x:f>
      </x:c>
      <x:c r="I308" s="88" t="str">
        <x:f>IF(C308="","",MAX(0,ROUND(D308+E308-F308-G308-H308,2)))</x:f>
      </x:c>
      <x:c r="J308" s="88" t="str">
        <x:f>IF(C308="","",F308+G308+H308)</x:f>
      </x:c>
      <x:c r="K308" s="88" t="str">
        <x:f>IF(C308="","",MAX(0,SUMIFS(SONDERZAHLUNGEN!$E$9:$E$128,SONDERZAHLUNGEN!$B$9:$B$128,C308,SONDERZAHLUNGEN!$C$9:$C$128,A308,SONDERZAHLUNGEN!$H$9:$H$128,"OK",SONDERZAHLUNGEN!$F$9:$F$128,"Ja")-G308))</x:f>
      </x:c>
    </x:row>
    <x:row r="309" ht="19" customHeight="1">
      <x:c r="A309" s="90" t="n">
        <x:f>MONATSBUDGET!$A$22</x:f>
        <x:v>46661</x:v>
      </x:c>
      <x:c r="B309" t="n">
        <x:f>10</x:f>
        <x:v>10</x:v>
      </x:c>
      <x:c r="C309" t="str">
        <x:f>IF($N$18="","",$N$18)</x:f>
      </x:c>
      <x:c r="D309" s="88" t="str">
        <x:f>IF(C309="","",I289)</x:f>
      </x:c>
      <x:c r="E309" s="88" t="str">
        <x:f>IF(C309="","",ROUND(D309*$P$18/12,2))</x:f>
      </x:c>
      <x:c r="F309" s="88" t="str">
        <x:f>IF(C309="","",MIN(D309+E309,$Q$18))</x:f>
      </x:c>
      <x:c r="G309" s="88" t="str">
        <x:f>IF(C309="","",MIN(MAX(0,D309+E309-F309),SUMIFS(SONDERZAHLUNGEN!$E$9:$E$128,SONDERZAHLUNGEN!$B$9:$B$128,C309,SONDERZAHLUNGEN!$C$9:$C$128,A309,SONDERZAHLUNGEN!$H$9:$H$128,"OK",SONDERZAHLUNGEN!$F$9:$F$128,"Ja")))</x:f>
      </x:c>
      <x:c r="H309" s="88" t="str">
        <x:f>IF(C309="","",MIN(MAX(0,D309+E309-F309-G309),MAX(0,IF(MONATSBUDGET!$C$22="",0,MONATSBUDGET!$C$22)-SUM(F300:F319)-SUM(H300:H308))))</x:f>
      </x:c>
      <x:c r="I309" s="88" t="str">
        <x:f>IF(C309="","",MAX(0,ROUND(D309+E309-F309-G309-H309,2)))</x:f>
      </x:c>
      <x:c r="J309" s="88" t="str">
        <x:f>IF(C309="","",F309+G309+H309)</x:f>
      </x:c>
      <x:c r="K309" s="88" t="str">
        <x:f>IF(C309="","",MAX(0,SUMIFS(SONDERZAHLUNGEN!$E$9:$E$128,SONDERZAHLUNGEN!$B$9:$B$128,C309,SONDERZAHLUNGEN!$C$9:$C$128,A309,SONDERZAHLUNGEN!$H$9:$H$128,"OK",SONDERZAHLUNGEN!$F$9:$F$128,"Ja")-G309))</x:f>
      </x:c>
    </x:row>
    <x:row r="310" ht="19" customHeight="1">
      <x:c r="A310" s="90" t="n">
        <x:f>MONATSBUDGET!$A$22</x:f>
        <x:v>46661</x:v>
      </x:c>
      <x:c r="B310" t="n">
        <x:f>11</x:f>
        <x:v>11</x:v>
      </x:c>
      <x:c r="C310" t="str">
        <x:f>IF($N$19="","",$N$19)</x:f>
      </x:c>
      <x:c r="D310" s="88" t="str">
        <x:f>IF(C310="","",I290)</x:f>
      </x:c>
      <x:c r="E310" s="88" t="str">
        <x:f>IF(C310="","",ROUND(D310*$P$19/12,2))</x:f>
      </x:c>
      <x:c r="F310" s="88" t="str">
        <x:f>IF(C310="","",MIN(D310+E310,$Q$19))</x:f>
      </x:c>
      <x:c r="G310" s="88" t="str">
        <x:f>IF(C310="","",MIN(MAX(0,D310+E310-F310),SUMIFS(SONDERZAHLUNGEN!$E$9:$E$128,SONDERZAHLUNGEN!$B$9:$B$128,C310,SONDERZAHLUNGEN!$C$9:$C$128,A310,SONDERZAHLUNGEN!$H$9:$H$128,"OK",SONDERZAHLUNGEN!$F$9:$F$128,"Ja")))</x:f>
      </x:c>
      <x:c r="H310" s="88" t="str">
        <x:f>IF(C310="","",MIN(MAX(0,D310+E310-F310-G310),MAX(0,IF(MONATSBUDGET!$C$22="",0,MONATSBUDGET!$C$22)-SUM(F300:F319)-SUM(H300:H309))))</x:f>
      </x:c>
      <x:c r="I310" s="88" t="str">
        <x:f>IF(C310="","",MAX(0,ROUND(D310+E310-F310-G310-H310,2)))</x:f>
      </x:c>
      <x:c r="J310" s="88" t="str">
        <x:f>IF(C310="","",F310+G310+H310)</x:f>
      </x:c>
      <x:c r="K310" s="88" t="str">
        <x:f>IF(C310="","",MAX(0,SUMIFS(SONDERZAHLUNGEN!$E$9:$E$128,SONDERZAHLUNGEN!$B$9:$B$128,C310,SONDERZAHLUNGEN!$C$9:$C$128,A310,SONDERZAHLUNGEN!$H$9:$H$128,"OK",SONDERZAHLUNGEN!$F$9:$F$128,"Ja")-G310))</x:f>
      </x:c>
    </x:row>
    <x:row r="311" ht="19" customHeight="1">
      <x:c r="A311" s="90" t="n">
        <x:f>MONATSBUDGET!$A$22</x:f>
        <x:v>46661</x:v>
      </x:c>
      <x:c r="B311" t="n">
        <x:f>12</x:f>
        <x:v>12</x:v>
      </x:c>
      <x:c r="C311" t="str">
        <x:f>IF($N$20="","",$N$20)</x:f>
      </x:c>
      <x:c r="D311" s="88" t="str">
        <x:f>IF(C311="","",I291)</x:f>
      </x:c>
      <x:c r="E311" s="88" t="str">
        <x:f>IF(C311="","",ROUND(D311*$P$20/12,2))</x:f>
      </x:c>
      <x:c r="F311" s="88" t="str">
        <x:f>IF(C311="","",MIN(D311+E311,$Q$20))</x:f>
      </x:c>
      <x:c r="G311" s="88" t="str">
        <x:f>IF(C311="","",MIN(MAX(0,D311+E311-F311),SUMIFS(SONDERZAHLUNGEN!$E$9:$E$128,SONDERZAHLUNGEN!$B$9:$B$128,C311,SONDERZAHLUNGEN!$C$9:$C$128,A311,SONDERZAHLUNGEN!$H$9:$H$128,"OK",SONDERZAHLUNGEN!$F$9:$F$128,"Ja")))</x:f>
      </x:c>
      <x:c r="H311" s="88" t="str">
        <x:f>IF(C311="","",MIN(MAX(0,D311+E311-F311-G311),MAX(0,IF(MONATSBUDGET!$C$22="",0,MONATSBUDGET!$C$22)-SUM(F300:F319)-SUM(H300:H310))))</x:f>
      </x:c>
      <x:c r="I311" s="88" t="str">
        <x:f>IF(C311="","",MAX(0,ROUND(D311+E311-F311-G311-H311,2)))</x:f>
      </x:c>
      <x:c r="J311" s="88" t="str">
        <x:f>IF(C311="","",F311+G311+H311)</x:f>
      </x:c>
      <x:c r="K311" s="88" t="str">
        <x:f>IF(C311="","",MAX(0,SUMIFS(SONDERZAHLUNGEN!$E$9:$E$128,SONDERZAHLUNGEN!$B$9:$B$128,C311,SONDERZAHLUNGEN!$C$9:$C$128,A311,SONDERZAHLUNGEN!$H$9:$H$128,"OK",SONDERZAHLUNGEN!$F$9:$F$128,"Ja")-G311))</x:f>
      </x:c>
    </x:row>
    <x:row r="312" ht="19" customHeight="1">
      <x:c r="A312" s="90" t="n">
        <x:f>MONATSBUDGET!$A$22</x:f>
        <x:v>46661</x:v>
      </x:c>
      <x:c r="B312" t="n">
        <x:f>13</x:f>
        <x:v>13</x:v>
      </x:c>
      <x:c r="C312" t="str">
        <x:f>IF($N$21="","",$N$21)</x:f>
      </x:c>
      <x:c r="D312" s="88" t="str">
        <x:f>IF(C312="","",I292)</x:f>
      </x:c>
      <x:c r="E312" s="88" t="str">
        <x:f>IF(C312="","",ROUND(D312*$P$21/12,2))</x:f>
      </x:c>
      <x:c r="F312" s="88" t="str">
        <x:f>IF(C312="","",MIN(D312+E312,$Q$21))</x:f>
      </x:c>
      <x:c r="G312" s="88" t="str">
        <x:f>IF(C312="","",MIN(MAX(0,D312+E312-F312),SUMIFS(SONDERZAHLUNGEN!$E$9:$E$128,SONDERZAHLUNGEN!$B$9:$B$128,C312,SONDERZAHLUNGEN!$C$9:$C$128,A312,SONDERZAHLUNGEN!$H$9:$H$128,"OK",SONDERZAHLUNGEN!$F$9:$F$128,"Ja")))</x:f>
      </x:c>
      <x:c r="H312" s="88" t="str">
        <x:f>IF(C312="","",MIN(MAX(0,D312+E312-F312-G312),MAX(0,IF(MONATSBUDGET!$C$22="",0,MONATSBUDGET!$C$22)-SUM(F300:F319)-SUM(H300:H311))))</x:f>
      </x:c>
      <x:c r="I312" s="88" t="str">
        <x:f>IF(C312="","",MAX(0,ROUND(D312+E312-F312-G312-H312,2)))</x:f>
      </x:c>
      <x:c r="J312" s="88" t="str">
        <x:f>IF(C312="","",F312+G312+H312)</x:f>
      </x:c>
      <x:c r="K312" s="88" t="str">
        <x:f>IF(C312="","",MAX(0,SUMIFS(SONDERZAHLUNGEN!$E$9:$E$128,SONDERZAHLUNGEN!$B$9:$B$128,C312,SONDERZAHLUNGEN!$C$9:$C$128,A312,SONDERZAHLUNGEN!$H$9:$H$128,"OK",SONDERZAHLUNGEN!$F$9:$F$128,"Ja")-G312))</x:f>
      </x:c>
    </x:row>
    <x:row r="313" ht="19" customHeight="1">
      <x:c r="A313" s="90" t="n">
        <x:f>MONATSBUDGET!$A$22</x:f>
        <x:v>46661</x:v>
      </x:c>
      <x:c r="B313" t="n">
        <x:f>14</x:f>
        <x:v>14</x:v>
      </x:c>
      <x:c r="C313" t="str">
        <x:f>IF($N$22="","",$N$22)</x:f>
      </x:c>
      <x:c r="D313" s="88" t="str">
        <x:f>IF(C313="","",I293)</x:f>
      </x:c>
      <x:c r="E313" s="88" t="str">
        <x:f>IF(C313="","",ROUND(D313*$P$22/12,2))</x:f>
      </x:c>
      <x:c r="F313" s="88" t="str">
        <x:f>IF(C313="","",MIN(D313+E313,$Q$22))</x:f>
      </x:c>
      <x:c r="G313" s="88" t="str">
        <x:f>IF(C313="","",MIN(MAX(0,D313+E313-F313),SUMIFS(SONDERZAHLUNGEN!$E$9:$E$128,SONDERZAHLUNGEN!$B$9:$B$128,C313,SONDERZAHLUNGEN!$C$9:$C$128,A313,SONDERZAHLUNGEN!$H$9:$H$128,"OK",SONDERZAHLUNGEN!$F$9:$F$128,"Ja")))</x:f>
      </x:c>
      <x:c r="H313" s="88" t="str">
        <x:f>IF(C313="","",MIN(MAX(0,D313+E313-F313-G313),MAX(0,IF(MONATSBUDGET!$C$22="",0,MONATSBUDGET!$C$22)-SUM(F300:F319)-SUM(H300:H312))))</x:f>
      </x:c>
      <x:c r="I313" s="88" t="str">
        <x:f>IF(C313="","",MAX(0,ROUND(D313+E313-F313-G313-H313,2)))</x:f>
      </x:c>
      <x:c r="J313" s="88" t="str">
        <x:f>IF(C313="","",F313+G313+H313)</x:f>
      </x:c>
      <x:c r="K313" s="88" t="str">
        <x:f>IF(C313="","",MAX(0,SUMIFS(SONDERZAHLUNGEN!$E$9:$E$128,SONDERZAHLUNGEN!$B$9:$B$128,C313,SONDERZAHLUNGEN!$C$9:$C$128,A313,SONDERZAHLUNGEN!$H$9:$H$128,"OK",SONDERZAHLUNGEN!$F$9:$F$128,"Ja")-G313))</x:f>
      </x:c>
    </x:row>
    <x:row r="314" ht="19" customHeight="1">
      <x:c r="A314" s="90" t="n">
        <x:f>MONATSBUDGET!$A$22</x:f>
        <x:v>46661</x:v>
      </x:c>
      <x:c r="B314" t="n">
        <x:f>15</x:f>
        <x:v>15</x:v>
      </x:c>
      <x:c r="C314" t="str">
        <x:f>IF($N$23="","",$N$23)</x:f>
      </x:c>
      <x:c r="D314" s="88" t="str">
        <x:f>IF(C314="","",I294)</x:f>
      </x:c>
      <x:c r="E314" s="88" t="str">
        <x:f>IF(C314="","",ROUND(D314*$P$23/12,2))</x:f>
      </x:c>
      <x:c r="F314" s="88" t="str">
        <x:f>IF(C314="","",MIN(D314+E314,$Q$23))</x:f>
      </x:c>
      <x:c r="G314" s="88" t="str">
        <x:f>IF(C314="","",MIN(MAX(0,D314+E314-F314),SUMIFS(SONDERZAHLUNGEN!$E$9:$E$128,SONDERZAHLUNGEN!$B$9:$B$128,C314,SONDERZAHLUNGEN!$C$9:$C$128,A314,SONDERZAHLUNGEN!$H$9:$H$128,"OK",SONDERZAHLUNGEN!$F$9:$F$128,"Ja")))</x:f>
      </x:c>
      <x:c r="H314" s="88" t="str">
        <x:f>IF(C314="","",MIN(MAX(0,D314+E314-F314-G314),MAX(0,IF(MONATSBUDGET!$C$22="",0,MONATSBUDGET!$C$22)-SUM(F300:F319)-SUM(H300:H313))))</x:f>
      </x:c>
      <x:c r="I314" s="88" t="str">
        <x:f>IF(C314="","",MAX(0,ROUND(D314+E314-F314-G314-H314,2)))</x:f>
      </x:c>
      <x:c r="J314" s="88" t="str">
        <x:f>IF(C314="","",F314+G314+H314)</x:f>
      </x:c>
      <x:c r="K314" s="88" t="str">
        <x:f>IF(C314="","",MAX(0,SUMIFS(SONDERZAHLUNGEN!$E$9:$E$128,SONDERZAHLUNGEN!$B$9:$B$128,C314,SONDERZAHLUNGEN!$C$9:$C$128,A314,SONDERZAHLUNGEN!$H$9:$H$128,"OK",SONDERZAHLUNGEN!$F$9:$F$128,"Ja")-G314))</x:f>
      </x:c>
    </x:row>
    <x:row r="315" ht="19" customHeight="1">
      <x:c r="A315" s="90" t="n">
        <x:f>MONATSBUDGET!$A$22</x:f>
        <x:v>46661</x:v>
      </x:c>
      <x:c r="B315" t="n">
        <x:f>16</x:f>
        <x:v>16</x:v>
      </x:c>
      <x:c r="C315" t="str">
        <x:f>IF($N$24="","",$N$24)</x:f>
      </x:c>
      <x:c r="D315" s="88" t="str">
        <x:f>IF(C315="","",I295)</x:f>
      </x:c>
      <x:c r="E315" s="88" t="str">
        <x:f>IF(C315="","",ROUND(D315*$P$24/12,2))</x:f>
      </x:c>
      <x:c r="F315" s="88" t="str">
        <x:f>IF(C315="","",MIN(D315+E315,$Q$24))</x:f>
      </x:c>
      <x:c r="G315" s="88" t="str">
        <x:f>IF(C315="","",MIN(MAX(0,D315+E315-F315),SUMIFS(SONDERZAHLUNGEN!$E$9:$E$128,SONDERZAHLUNGEN!$B$9:$B$128,C315,SONDERZAHLUNGEN!$C$9:$C$128,A315,SONDERZAHLUNGEN!$H$9:$H$128,"OK",SONDERZAHLUNGEN!$F$9:$F$128,"Ja")))</x:f>
      </x:c>
      <x:c r="H315" s="88" t="str">
        <x:f>IF(C315="","",MIN(MAX(0,D315+E315-F315-G315),MAX(0,IF(MONATSBUDGET!$C$22="",0,MONATSBUDGET!$C$22)-SUM(F300:F319)-SUM(H300:H314))))</x:f>
      </x:c>
      <x:c r="I315" s="88" t="str">
        <x:f>IF(C315="","",MAX(0,ROUND(D315+E315-F315-G315-H315,2)))</x:f>
      </x:c>
      <x:c r="J315" s="88" t="str">
        <x:f>IF(C315="","",F315+G315+H315)</x:f>
      </x:c>
      <x:c r="K315" s="88" t="str">
        <x:f>IF(C315="","",MAX(0,SUMIFS(SONDERZAHLUNGEN!$E$9:$E$128,SONDERZAHLUNGEN!$B$9:$B$128,C315,SONDERZAHLUNGEN!$C$9:$C$128,A315,SONDERZAHLUNGEN!$H$9:$H$128,"OK",SONDERZAHLUNGEN!$F$9:$F$128,"Ja")-G315))</x:f>
      </x:c>
    </x:row>
    <x:row r="316" ht="19" customHeight="1">
      <x:c r="A316" s="90" t="n">
        <x:f>MONATSBUDGET!$A$22</x:f>
        <x:v>46661</x:v>
      </x:c>
      <x:c r="B316" t="n">
        <x:f>17</x:f>
        <x:v>17</x:v>
      </x:c>
      <x:c r="C316" t="str">
        <x:f>IF($N$25="","",$N$25)</x:f>
      </x:c>
      <x:c r="D316" s="88" t="str">
        <x:f>IF(C316="","",I296)</x:f>
      </x:c>
      <x:c r="E316" s="88" t="str">
        <x:f>IF(C316="","",ROUND(D316*$P$25/12,2))</x:f>
      </x:c>
      <x:c r="F316" s="88" t="str">
        <x:f>IF(C316="","",MIN(D316+E316,$Q$25))</x:f>
      </x:c>
      <x:c r="G316" s="88" t="str">
        <x:f>IF(C316="","",MIN(MAX(0,D316+E316-F316),SUMIFS(SONDERZAHLUNGEN!$E$9:$E$128,SONDERZAHLUNGEN!$B$9:$B$128,C316,SONDERZAHLUNGEN!$C$9:$C$128,A316,SONDERZAHLUNGEN!$H$9:$H$128,"OK",SONDERZAHLUNGEN!$F$9:$F$128,"Ja")))</x:f>
      </x:c>
      <x:c r="H316" s="88" t="str">
        <x:f>IF(C316="","",MIN(MAX(0,D316+E316-F316-G316),MAX(0,IF(MONATSBUDGET!$C$22="",0,MONATSBUDGET!$C$22)-SUM(F300:F319)-SUM(H300:H315))))</x:f>
      </x:c>
      <x:c r="I316" s="88" t="str">
        <x:f>IF(C316="","",MAX(0,ROUND(D316+E316-F316-G316-H316,2)))</x:f>
      </x:c>
      <x:c r="J316" s="88" t="str">
        <x:f>IF(C316="","",F316+G316+H316)</x:f>
      </x:c>
      <x:c r="K316" s="88" t="str">
        <x:f>IF(C316="","",MAX(0,SUMIFS(SONDERZAHLUNGEN!$E$9:$E$128,SONDERZAHLUNGEN!$B$9:$B$128,C316,SONDERZAHLUNGEN!$C$9:$C$128,A316,SONDERZAHLUNGEN!$H$9:$H$128,"OK",SONDERZAHLUNGEN!$F$9:$F$128,"Ja")-G316))</x:f>
      </x:c>
    </x:row>
    <x:row r="317" ht="19" customHeight="1">
      <x:c r="A317" s="90" t="n">
        <x:f>MONATSBUDGET!$A$22</x:f>
        <x:v>46661</x:v>
      </x:c>
      <x:c r="B317" t="n">
        <x:f>18</x:f>
        <x:v>18</x:v>
      </x:c>
      <x:c r="C317" t="str">
        <x:f>IF($N$26="","",$N$26)</x:f>
      </x:c>
      <x:c r="D317" s="88" t="str">
        <x:f>IF(C317="","",I297)</x:f>
      </x:c>
      <x:c r="E317" s="88" t="str">
        <x:f>IF(C317="","",ROUND(D317*$P$26/12,2))</x:f>
      </x:c>
      <x:c r="F317" s="88" t="str">
        <x:f>IF(C317="","",MIN(D317+E317,$Q$26))</x:f>
      </x:c>
      <x:c r="G317" s="88" t="str">
        <x:f>IF(C317="","",MIN(MAX(0,D317+E317-F317),SUMIFS(SONDERZAHLUNGEN!$E$9:$E$128,SONDERZAHLUNGEN!$B$9:$B$128,C317,SONDERZAHLUNGEN!$C$9:$C$128,A317,SONDERZAHLUNGEN!$H$9:$H$128,"OK",SONDERZAHLUNGEN!$F$9:$F$128,"Ja")))</x:f>
      </x:c>
      <x:c r="H317" s="88" t="str">
        <x:f>IF(C317="","",MIN(MAX(0,D317+E317-F317-G317),MAX(0,IF(MONATSBUDGET!$C$22="",0,MONATSBUDGET!$C$22)-SUM(F300:F319)-SUM(H300:H316))))</x:f>
      </x:c>
      <x:c r="I317" s="88" t="str">
        <x:f>IF(C317="","",MAX(0,ROUND(D317+E317-F317-G317-H317,2)))</x:f>
      </x:c>
      <x:c r="J317" s="88" t="str">
        <x:f>IF(C317="","",F317+G317+H317)</x:f>
      </x:c>
      <x:c r="K317" s="88" t="str">
        <x:f>IF(C317="","",MAX(0,SUMIFS(SONDERZAHLUNGEN!$E$9:$E$128,SONDERZAHLUNGEN!$B$9:$B$128,C317,SONDERZAHLUNGEN!$C$9:$C$128,A317,SONDERZAHLUNGEN!$H$9:$H$128,"OK",SONDERZAHLUNGEN!$F$9:$F$128,"Ja")-G317))</x:f>
      </x:c>
    </x:row>
    <x:row r="318" ht="19" customHeight="1">
      <x:c r="A318" s="90" t="n">
        <x:f>MONATSBUDGET!$A$22</x:f>
        <x:v>46661</x:v>
      </x:c>
      <x:c r="B318" t="n">
        <x:f>19</x:f>
        <x:v>19</x:v>
      </x:c>
      <x:c r="C318" t="str">
        <x:f>IF($N$27="","",$N$27)</x:f>
      </x:c>
      <x:c r="D318" s="88" t="str">
        <x:f>IF(C318="","",I298)</x:f>
      </x:c>
      <x:c r="E318" s="88" t="str">
        <x:f>IF(C318="","",ROUND(D318*$P$27/12,2))</x:f>
      </x:c>
      <x:c r="F318" s="88" t="str">
        <x:f>IF(C318="","",MIN(D318+E318,$Q$27))</x:f>
      </x:c>
      <x:c r="G318" s="88" t="str">
        <x:f>IF(C318="","",MIN(MAX(0,D318+E318-F318),SUMIFS(SONDERZAHLUNGEN!$E$9:$E$128,SONDERZAHLUNGEN!$B$9:$B$128,C318,SONDERZAHLUNGEN!$C$9:$C$128,A318,SONDERZAHLUNGEN!$H$9:$H$128,"OK",SONDERZAHLUNGEN!$F$9:$F$128,"Ja")))</x:f>
      </x:c>
      <x:c r="H318" s="88" t="str">
        <x:f>IF(C318="","",MIN(MAX(0,D318+E318-F318-G318),MAX(0,IF(MONATSBUDGET!$C$22="",0,MONATSBUDGET!$C$22)-SUM(F300:F319)-SUM(H300:H317))))</x:f>
      </x:c>
      <x:c r="I318" s="88" t="str">
        <x:f>IF(C318="","",MAX(0,ROUND(D318+E318-F318-G318-H318,2)))</x:f>
      </x:c>
      <x:c r="J318" s="88" t="str">
        <x:f>IF(C318="","",F318+G318+H318)</x:f>
      </x:c>
      <x:c r="K318" s="88" t="str">
        <x:f>IF(C318="","",MAX(0,SUMIFS(SONDERZAHLUNGEN!$E$9:$E$128,SONDERZAHLUNGEN!$B$9:$B$128,C318,SONDERZAHLUNGEN!$C$9:$C$128,A318,SONDERZAHLUNGEN!$H$9:$H$128,"OK",SONDERZAHLUNGEN!$F$9:$F$128,"Ja")-G318))</x:f>
      </x:c>
    </x:row>
    <x:row r="319" ht="19" customHeight="1">
      <x:c r="A319" s="90" t="n">
        <x:f>MONATSBUDGET!$A$22</x:f>
        <x:v>46661</x:v>
      </x:c>
      <x:c r="B319" t="n">
        <x:f>20</x:f>
        <x:v>20</x:v>
      </x:c>
      <x:c r="C319" t="str">
        <x:f>IF($N$28="","",$N$28)</x:f>
      </x:c>
      <x:c r="D319" s="88" t="str">
        <x:f>IF(C319="","",I299)</x:f>
      </x:c>
      <x:c r="E319" s="88" t="str">
        <x:f>IF(C319="","",ROUND(D319*$P$28/12,2))</x:f>
      </x:c>
      <x:c r="F319" s="88" t="str">
        <x:f>IF(C319="","",MIN(D319+E319,$Q$28))</x:f>
      </x:c>
      <x:c r="G319" s="88" t="str">
        <x:f>IF(C319="","",MIN(MAX(0,D319+E319-F319),SUMIFS(SONDERZAHLUNGEN!$E$9:$E$128,SONDERZAHLUNGEN!$B$9:$B$128,C319,SONDERZAHLUNGEN!$C$9:$C$128,A319,SONDERZAHLUNGEN!$H$9:$H$128,"OK",SONDERZAHLUNGEN!$F$9:$F$128,"Ja")))</x:f>
      </x:c>
      <x:c r="H319" s="88" t="str">
        <x:f>IF(C319="","",MIN(MAX(0,D319+E319-F319-G319),MAX(0,IF(MONATSBUDGET!$C$22="",0,MONATSBUDGET!$C$22)-SUM(F300:F319)-SUM(H300:H318))))</x:f>
      </x:c>
      <x:c r="I319" s="88" t="str">
        <x:f>IF(C319="","",MAX(0,ROUND(D319+E319-F319-G319-H319,2)))</x:f>
      </x:c>
      <x:c r="J319" s="88" t="str">
        <x:f>IF(C319="","",F319+G319+H319)</x:f>
      </x:c>
      <x:c r="K319" s="88" t="str">
        <x:f>IF(C319="","",MAX(0,SUMIFS(SONDERZAHLUNGEN!$E$9:$E$128,SONDERZAHLUNGEN!$B$9:$B$128,C319,SONDERZAHLUNGEN!$C$9:$C$128,A319,SONDERZAHLUNGEN!$H$9:$H$128,"OK",SONDERZAHLUNGEN!$F$9:$F$128,"Ja")-G319))</x:f>
      </x:c>
    </x:row>
    <x:row r="320" ht="19" customHeight="1">
      <x:c r="A320" s="90" t="n">
        <x:f>MONATSBUDGET!$A$23</x:f>
        <x:v>46692</x:v>
      </x:c>
      <x:c r="B320" t="n">
        <x:f>1</x:f>
        <x:v>1</x:v>
      </x:c>
      <x:c r="C320" t="str">
        <x:f>IF($N$9="","",$N$9)</x:f>
      </x:c>
      <x:c r="D320" s="88" t="str">
        <x:f>IF(C320="","",I300)</x:f>
      </x:c>
      <x:c r="E320" s="88" t="str">
        <x:f>IF(C320="","",ROUND(D320*$P$9/12,2))</x:f>
      </x:c>
      <x:c r="F320" s="88" t="str">
        <x:f>IF(C320="","",MIN(D320+E320,$Q$9))</x:f>
      </x:c>
      <x:c r="G320" s="88" t="str">
        <x:f>IF(C320="","",MIN(MAX(0,D320+E320-F320),SUMIFS(SONDERZAHLUNGEN!$E$9:$E$128,SONDERZAHLUNGEN!$B$9:$B$128,C320,SONDERZAHLUNGEN!$C$9:$C$128,A320,SONDERZAHLUNGEN!$H$9:$H$128,"OK",SONDERZAHLUNGEN!$F$9:$F$128,"Ja")))</x:f>
      </x:c>
      <x:c r="H320" s="88" t="str">
        <x:f>IF(C320="","",MIN(MAX(0,D320+E320-F320-G320),MAX(0,IF(MONATSBUDGET!$C$23="",0,MONATSBUDGET!$C$23)-SUM(F320:F339)-0)))</x:f>
      </x:c>
      <x:c r="I320" s="88" t="str">
        <x:f>IF(C320="","",MAX(0,ROUND(D320+E320-F320-G320-H320,2)))</x:f>
      </x:c>
      <x:c r="J320" s="88" t="str">
        <x:f>IF(C320="","",F320+G320+H320)</x:f>
      </x:c>
      <x:c r="K320" s="88" t="str">
        <x:f>IF(C320="","",MAX(0,SUMIFS(SONDERZAHLUNGEN!$E$9:$E$128,SONDERZAHLUNGEN!$B$9:$B$128,C320,SONDERZAHLUNGEN!$C$9:$C$128,A320,SONDERZAHLUNGEN!$H$9:$H$128,"OK",SONDERZAHLUNGEN!$F$9:$F$128,"Ja")-G320))</x:f>
      </x:c>
    </x:row>
    <x:row r="321" ht="19" customHeight="1">
      <x:c r="A321" s="90" t="n">
        <x:f>MONATSBUDGET!$A$23</x:f>
        <x:v>46692</x:v>
      </x:c>
      <x:c r="B321" t="n">
        <x:f>2</x:f>
        <x:v>2</x:v>
      </x:c>
      <x:c r="C321" t="str">
        <x:f>IF($N$10="","",$N$10)</x:f>
      </x:c>
      <x:c r="D321" s="88" t="str">
        <x:f>IF(C321="","",I301)</x:f>
      </x:c>
      <x:c r="E321" s="88" t="str">
        <x:f>IF(C321="","",ROUND(D321*$P$10/12,2))</x:f>
      </x:c>
      <x:c r="F321" s="88" t="str">
        <x:f>IF(C321="","",MIN(D321+E321,$Q$10))</x:f>
      </x:c>
      <x:c r="G321" s="88" t="str">
        <x:f>IF(C321="","",MIN(MAX(0,D321+E321-F321),SUMIFS(SONDERZAHLUNGEN!$E$9:$E$128,SONDERZAHLUNGEN!$B$9:$B$128,C321,SONDERZAHLUNGEN!$C$9:$C$128,A321,SONDERZAHLUNGEN!$H$9:$H$128,"OK",SONDERZAHLUNGEN!$F$9:$F$128,"Ja")))</x:f>
      </x:c>
      <x:c r="H321" s="88" t="str">
        <x:f>IF(C321="","",MIN(MAX(0,D321+E321-F321-G321),MAX(0,IF(MONATSBUDGET!$C$23="",0,MONATSBUDGET!$C$23)-SUM(F320:F339)-SUM(H320:H320))))</x:f>
      </x:c>
      <x:c r="I321" s="88" t="str">
        <x:f>IF(C321="","",MAX(0,ROUND(D321+E321-F321-G321-H321,2)))</x:f>
      </x:c>
      <x:c r="J321" s="88" t="str">
        <x:f>IF(C321="","",F321+G321+H321)</x:f>
      </x:c>
      <x:c r="K321" s="88" t="str">
        <x:f>IF(C321="","",MAX(0,SUMIFS(SONDERZAHLUNGEN!$E$9:$E$128,SONDERZAHLUNGEN!$B$9:$B$128,C321,SONDERZAHLUNGEN!$C$9:$C$128,A321,SONDERZAHLUNGEN!$H$9:$H$128,"OK",SONDERZAHLUNGEN!$F$9:$F$128,"Ja")-G321))</x:f>
      </x:c>
    </x:row>
    <x:row r="322" ht="19" customHeight="1">
      <x:c r="A322" s="90" t="n">
        <x:f>MONATSBUDGET!$A$23</x:f>
        <x:v>46692</x:v>
      </x:c>
      <x:c r="B322" t="n">
        <x:f>3</x:f>
        <x:v>3</x:v>
      </x:c>
      <x:c r="C322" t="str">
        <x:f>IF($N$11="","",$N$11)</x:f>
      </x:c>
      <x:c r="D322" s="88" t="str">
        <x:f>IF(C322="","",I302)</x:f>
      </x:c>
      <x:c r="E322" s="88" t="str">
        <x:f>IF(C322="","",ROUND(D322*$P$11/12,2))</x:f>
      </x:c>
      <x:c r="F322" s="88" t="str">
        <x:f>IF(C322="","",MIN(D322+E322,$Q$11))</x:f>
      </x:c>
      <x:c r="G322" s="88" t="str">
        <x:f>IF(C322="","",MIN(MAX(0,D322+E322-F322),SUMIFS(SONDERZAHLUNGEN!$E$9:$E$128,SONDERZAHLUNGEN!$B$9:$B$128,C322,SONDERZAHLUNGEN!$C$9:$C$128,A322,SONDERZAHLUNGEN!$H$9:$H$128,"OK",SONDERZAHLUNGEN!$F$9:$F$128,"Ja")))</x:f>
      </x:c>
      <x:c r="H322" s="88" t="str">
        <x:f>IF(C322="","",MIN(MAX(0,D322+E322-F322-G322),MAX(0,IF(MONATSBUDGET!$C$23="",0,MONATSBUDGET!$C$23)-SUM(F320:F339)-SUM(H320:H321))))</x:f>
      </x:c>
      <x:c r="I322" s="88" t="str">
        <x:f>IF(C322="","",MAX(0,ROUND(D322+E322-F322-G322-H322,2)))</x:f>
      </x:c>
      <x:c r="J322" s="88" t="str">
        <x:f>IF(C322="","",F322+G322+H322)</x:f>
      </x:c>
      <x:c r="K322" s="88" t="str">
        <x:f>IF(C322="","",MAX(0,SUMIFS(SONDERZAHLUNGEN!$E$9:$E$128,SONDERZAHLUNGEN!$B$9:$B$128,C322,SONDERZAHLUNGEN!$C$9:$C$128,A322,SONDERZAHLUNGEN!$H$9:$H$128,"OK",SONDERZAHLUNGEN!$F$9:$F$128,"Ja")-G322))</x:f>
      </x:c>
    </x:row>
    <x:row r="323" ht="19" customHeight="1">
      <x:c r="A323" s="90" t="n">
        <x:f>MONATSBUDGET!$A$23</x:f>
        <x:v>46692</x:v>
      </x:c>
      <x:c r="B323" t="n">
        <x:f>4</x:f>
        <x:v>4</x:v>
      </x:c>
      <x:c r="C323" t="str">
        <x:f>IF($N$12="","",$N$12)</x:f>
      </x:c>
      <x:c r="D323" s="88" t="str">
        <x:f>IF(C323="","",I303)</x:f>
      </x:c>
      <x:c r="E323" s="88" t="str">
        <x:f>IF(C323="","",ROUND(D323*$P$12/12,2))</x:f>
      </x:c>
      <x:c r="F323" s="88" t="str">
        <x:f>IF(C323="","",MIN(D323+E323,$Q$12))</x:f>
      </x:c>
      <x:c r="G323" s="88" t="str">
        <x:f>IF(C323="","",MIN(MAX(0,D323+E323-F323),SUMIFS(SONDERZAHLUNGEN!$E$9:$E$128,SONDERZAHLUNGEN!$B$9:$B$128,C323,SONDERZAHLUNGEN!$C$9:$C$128,A323,SONDERZAHLUNGEN!$H$9:$H$128,"OK",SONDERZAHLUNGEN!$F$9:$F$128,"Ja")))</x:f>
      </x:c>
      <x:c r="H323" s="88" t="str">
        <x:f>IF(C323="","",MIN(MAX(0,D323+E323-F323-G323),MAX(0,IF(MONATSBUDGET!$C$23="",0,MONATSBUDGET!$C$23)-SUM(F320:F339)-SUM(H320:H322))))</x:f>
      </x:c>
      <x:c r="I323" s="88" t="str">
        <x:f>IF(C323="","",MAX(0,ROUND(D323+E323-F323-G323-H323,2)))</x:f>
      </x:c>
      <x:c r="J323" s="88" t="str">
        <x:f>IF(C323="","",F323+G323+H323)</x:f>
      </x:c>
      <x:c r="K323" s="88" t="str">
        <x:f>IF(C323="","",MAX(0,SUMIFS(SONDERZAHLUNGEN!$E$9:$E$128,SONDERZAHLUNGEN!$B$9:$B$128,C323,SONDERZAHLUNGEN!$C$9:$C$128,A323,SONDERZAHLUNGEN!$H$9:$H$128,"OK",SONDERZAHLUNGEN!$F$9:$F$128,"Ja")-G323))</x:f>
      </x:c>
    </x:row>
    <x:row r="324" ht="19" customHeight="1">
      <x:c r="A324" s="90" t="n">
        <x:f>MONATSBUDGET!$A$23</x:f>
        <x:v>46692</x:v>
      </x:c>
      <x:c r="B324" t="n">
        <x:f>5</x:f>
        <x:v>5</x:v>
      </x:c>
      <x:c r="C324" t="str">
        <x:f>IF($N$13="","",$N$13)</x:f>
      </x:c>
      <x:c r="D324" s="88" t="str">
        <x:f>IF(C324="","",I304)</x:f>
      </x:c>
      <x:c r="E324" s="88" t="str">
        <x:f>IF(C324="","",ROUND(D324*$P$13/12,2))</x:f>
      </x:c>
      <x:c r="F324" s="88" t="str">
        <x:f>IF(C324="","",MIN(D324+E324,$Q$13))</x:f>
      </x:c>
      <x:c r="G324" s="88" t="str">
        <x:f>IF(C324="","",MIN(MAX(0,D324+E324-F324),SUMIFS(SONDERZAHLUNGEN!$E$9:$E$128,SONDERZAHLUNGEN!$B$9:$B$128,C324,SONDERZAHLUNGEN!$C$9:$C$128,A324,SONDERZAHLUNGEN!$H$9:$H$128,"OK",SONDERZAHLUNGEN!$F$9:$F$128,"Ja")))</x:f>
      </x:c>
      <x:c r="H324" s="88" t="str">
        <x:f>IF(C324="","",MIN(MAX(0,D324+E324-F324-G324),MAX(0,IF(MONATSBUDGET!$C$23="",0,MONATSBUDGET!$C$23)-SUM(F320:F339)-SUM(H320:H323))))</x:f>
      </x:c>
      <x:c r="I324" s="88" t="str">
        <x:f>IF(C324="","",MAX(0,ROUND(D324+E324-F324-G324-H324,2)))</x:f>
      </x:c>
      <x:c r="J324" s="88" t="str">
        <x:f>IF(C324="","",F324+G324+H324)</x:f>
      </x:c>
      <x:c r="K324" s="88" t="str">
        <x:f>IF(C324="","",MAX(0,SUMIFS(SONDERZAHLUNGEN!$E$9:$E$128,SONDERZAHLUNGEN!$B$9:$B$128,C324,SONDERZAHLUNGEN!$C$9:$C$128,A324,SONDERZAHLUNGEN!$H$9:$H$128,"OK",SONDERZAHLUNGEN!$F$9:$F$128,"Ja")-G324))</x:f>
      </x:c>
    </x:row>
    <x:row r="325" ht="19" customHeight="1">
      <x:c r="A325" s="90" t="n">
        <x:f>MONATSBUDGET!$A$23</x:f>
        <x:v>46692</x:v>
      </x:c>
      <x:c r="B325" t="n">
        <x:f>6</x:f>
        <x:v>6</x:v>
      </x:c>
      <x:c r="C325" t="str">
        <x:f>IF($N$14="","",$N$14)</x:f>
      </x:c>
      <x:c r="D325" s="88" t="str">
        <x:f>IF(C325="","",I305)</x:f>
      </x:c>
      <x:c r="E325" s="88" t="str">
        <x:f>IF(C325="","",ROUND(D325*$P$14/12,2))</x:f>
      </x:c>
      <x:c r="F325" s="88" t="str">
        <x:f>IF(C325="","",MIN(D325+E325,$Q$14))</x:f>
      </x:c>
      <x:c r="G325" s="88" t="str">
        <x:f>IF(C325="","",MIN(MAX(0,D325+E325-F325),SUMIFS(SONDERZAHLUNGEN!$E$9:$E$128,SONDERZAHLUNGEN!$B$9:$B$128,C325,SONDERZAHLUNGEN!$C$9:$C$128,A325,SONDERZAHLUNGEN!$H$9:$H$128,"OK",SONDERZAHLUNGEN!$F$9:$F$128,"Ja")))</x:f>
      </x:c>
      <x:c r="H325" s="88" t="str">
        <x:f>IF(C325="","",MIN(MAX(0,D325+E325-F325-G325),MAX(0,IF(MONATSBUDGET!$C$23="",0,MONATSBUDGET!$C$23)-SUM(F320:F339)-SUM(H320:H324))))</x:f>
      </x:c>
      <x:c r="I325" s="88" t="str">
        <x:f>IF(C325="","",MAX(0,ROUND(D325+E325-F325-G325-H325,2)))</x:f>
      </x:c>
      <x:c r="J325" s="88" t="str">
        <x:f>IF(C325="","",F325+G325+H325)</x:f>
      </x:c>
      <x:c r="K325" s="88" t="str">
        <x:f>IF(C325="","",MAX(0,SUMIFS(SONDERZAHLUNGEN!$E$9:$E$128,SONDERZAHLUNGEN!$B$9:$B$128,C325,SONDERZAHLUNGEN!$C$9:$C$128,A325,SONDERZAHLUNGEN!$H$9:$H$128,"OK",SONDERZAHLUNGEN!$F$9:$F$128,"Ja")-G325))</x:f>
      </x:c>
    </x:row>
    <x:row r="326" ht="19" customHeight="1">
      <x:c r="A326" s="90" t="n">
        <x:f>MONATSBUDGET!$A$23</x:f>
        <x:v>46692</x:v>
      </x:c>
      <x:c r="B326" t="n">
        <x:f>7</x:f>
        <x:v>7</x:v>
      </x:c>
      <x:c r="C326" t="str">
        <x:f>IF($N$15="","",$N$15)</x:f>
      </x:c>
      <x:c r="D326" s="88" t="str">
        <x:f>IF(C326="","",I306)</x:f>
      </x:c>
      <x:c r="E326" s="88" t="str">
        <x:f>IF(C326="","",ROUND(D326*$P$15/12,2))</x:f>
      </x:c>
      <x:c r="F326" s="88" t="str">
        <x:f>IF(C326="","",MIN(D326+E326,$Q$15))</x:f>
      </x:c>
      <x:c r="G326" s="88" t="str">
        <x:f>IF(C326="","",MIN(MAX(0,D326+E326-F326),SUMIFS(SONDERZAHLUNGEN!$E$9:$E$128,SONDERZAHLUNGEN!$B$9:$B$128,C326,SONDERZAHLUNGEN!$C$9:$C$128,A326,SONDERZAHLUNGEN!$H$9:$H$128,"OK",SONDERZAHLUNGEN!$F$9:$F$128,"Ja")))</x:f>
      </x:c>
      <x:c r="H326" s="88" t="str">
        <x:f>IF(C326="","",MIN(MAX(0,D326+E326-F326-G326),MAX(0,IF(MONATSBUDGET!$C$23="",0,MONATSBUDGET!$C$23)-SUM(F320:F339)-SUM(H320:H325))))</x:f>
      </x:c>
      <x:c r="I326" s="88" t="str">
        <x:f>IF(C326="","",MAX(0,ROUND(D326+E326-F326-G326-H326,2)))</x:f>
      </x:c>
      <x:c r="J326" s="88" t="str">
        <x:f>IF(C326="","",F326+G326+H326)</x:f>
      </x:c>
      <x:c r="K326" s="88" t="str">
        <x:f>IF(C326="","",MAX(0,SUMIFS(SONDERZAHLUNGEN!$E$9:$E$128,SONDERZAHLUNGEN!$B$9:$B$128,C326,SONDERZAHLUNGEN!$C$9:$C$128,A326,SONDERZAHLUNGEN!$H$9:$H$128,"OK",SONDERZAHLUNGEN!$F$9:$F$128,"Ja")-G326))</x:f>
      </x:c>
    </x:row>
    <x:row r="327" ht="19" customHeight="1">
      <x:c r="A327" s="90" t="n">
        <x:f>MONATSBUDGET!$A$23</x:f>
        <x:v>46692</x:v>
      </x:c>
      <x:c r="B327" t="n">
        <x:f>8</x:f>
        <x:v>8</x:v>
      </x:c>
      <x:c r="C327" t="str">
        <x:f>IF($N$16="","",$N$16)</x:f>
      </x:c>
      <x:c r="D327" s="88" t="str">
        <x:f>IF(C327="","",I307)</x:f>
      </x:c>
      <x:c r="E327" s="88" t="str">
        <x:f>IF(C327="","",ROUND(D327*$P$16/12,2))</x:f>
      </x:c>
      <x:c r="F327" s="88" t="str">
        <x:f>IF(C327="","",MIN(D327+E327,$Q$16))</x:f>
      </x:c>
      <x:c r="G327" s="88" t="str">
        <x:f>IF(C327="","",MIN(MAX(0,D327+E327-F327),SUMIFS(SONDERZAHLUNGEN!$E$9:$E$128,SONDERZAHLUNGEN!$B$9:$B$128,C327,SONDERZAHLUNGEN!$C$9:$C$128,A327,SONDERZAHLUNGEN!$H$9:$H$128,"OK",SONDERZAHLUNGEN!$F$9:$F$128,"Ja")))</x:f>
      </x:c>
      <x:c r="H327" s="88" t="str">
        <x:f>IF(C327="","",MIN(MAX(0,D327+E327-F327-G327),MAX(0,IF(MONATSBUDGET!$C$23="",0,MONATSBUDGET!$C$23)-SUM(F320:F339)-SUM(H320:H326))))</x:f>
      </x:c>
      <x:c r="I327" s="88" t="str">
        <x:f>IF(C327="","",MAX(0,ROUND(D327+E327-F327-G327-H327,2)))</x:f>
      </x:c>
      <x:c r="J327" s="88" t="str">
        <x:f>IF(C327="","",F327+G327+H327)</x:f>
      </x:c>
      <x:c r="K327" s="88" t="str">
        <x:f>IF(C327="","",MAX(0,SUMIFS(SONDERZAHLUNGEN!$E$9:$E$128,SONDERZAHLUNGEN!$B$9:$B$128,C327,SONDERZAHLUNGEN!$C$9:$C$128,A327,SONDERZAHLUNGEN!$H$9:$H$128,"OK",SONDERZAHLUNGEN!$F$9:$F$128,"Ja")-G327))</x:f>
      </x:c>
    </x:row>
    <x:row r="328" ht="19" customHeight="1">
      <x:c r="A328" s="90" t="n">
        <x:f>MONATSBUDGET!$A$23</x:f>
        <x:v>46692</x:v>
      </x:c>
      <x:c r="B328" t="n">
        <x:f>9</x:f>
        <x:v>9</x:v>
      </x:c>
      <x:c r="C328" t="str">
        <x:f>IF($N$17="","",$N$17)</x:f>
      </x:c>
      <x:c r="D328" s="88" t="str">
        <x:f>IF(C328="","",I308)</x:f>
      </x:c>
      <x:c r="E328" s="88" t="str">
        <x:f>IF(C328="","",ROUND(D328*$P$17/12,2))</x:f>
      </x:c>
      <x:c r="F328" s="88" t="str">
        <x:f>IF(C328="","",MIN(D328+E328,$Q$17))</x:f>
      </x:c>
      <x:c r="G328" s="88" t="str">
        <x:f>IF(C328="","",MIN(MAX(0,D328+E328-F328),SUMIFS(SONDERZAHLUNGEN!$E$9:$E$128,SONDERZAHLUNGEN!$B$9:$B$128,C328,SONDERZAHLUNGEN!$C$9:$C$128,A328,SONDERZAHLUNGEN!$H$9:$H$128,"OK",SONDERZAHLUNGEN!$F$9:$F$128,"Ja")))</x:f>
      </x:c>
      <x:c r="H328" s="88" t="str">
        <x:f>IF(C328="","",MIN(MAX(0,D328+E328-F328-G328),MAX(0,IF(MONATSBUDGET!$C$23="",0,MONATSBUDGET!$C$23)-SUM(F320:F339)-SUM(H320:H327))))</x:f>
      </x:c>
      <x:c r="I328" s="88" t="str">
        <x:f>IF(C328="","",MAX(0,ROUND(D328+E328-F328-G328-H328,2)))</x:f>
      </x:c>
      <x:c r="J328" s="88" t="str">
        <x:f>IF(C328="","",F328+G328+H328)</x:f>
      </x:c>
      <x:c r="K328" s="88" t="str">
        <x:f>IF(C328="","",MAX(0,SUMIFS(SONDERZAHLUNGEN!$E$9:$E$128,SONDERZAHLUNGEN!$B$9:$B$128,C328,SONDERZAHLUNGEN!$C$9:$C$128,A328,SONDERZAHLUNGEN!$H$9:$H$128,"OK",SONDERZAHLUNGEN!$F$9:$F$128,"Ja")-G328))</x:f>
      </x:c>
    </x:row>
    <x:row r="329" ht="19" customHeight="1">
      <x:c r="A329" s="90" t="n">
        <x:f>MONATSBUDGET!$A$23</x:f>
        <x:v>46692</x:v>
      </x:c>
      <x:c r="B329" t="n">
        <x:f>10</x:f>
        <x:v>10</x:v>
      </x:c>
      <x:c r="C329" t="str">
        <x:f>IF($N$18="","",$N$18)</x:f>
      </x:c>
      <x:c r="D329" s="88" t="str">
        <x:f>IF(C329="","",I309)</x:f>
      </x:c>
      <x:c r="E329" s="88" t="str">
        <x:f>IF(C329="","",ROUND(D329*$P$18/12,2))</x:f>
      </x:c>
      <x:c r="F329" s="88" t="str">
        <x:f>IF(C329="","",MIN(D329+E329,$Q$18))</x:f>
      </x:c>
      <x:c r="G329" s="88" t="str">
        <x:f>IF(C329="","",MIN(MAX(0,D329+E329-F329),SUMIFS(SONDERZAHLUNGEN!$E$9:$E$128,SONDERZAHLUNGEN!$B$9:$B$128,C329,SONDERZAHLUNGEN!$C$9:$C$128,A329,SONDERZAHLUNGEN!$H$9:$H$128,"OK",SONDERZAHLUNGEN!$F$9:$F$128,"Ja")))</x:f>
      </x:c>
      <x:c r="H329" s="88" t="str">
        <x:f>IF(C329="","",MIN(MAX(0,D329+E329-F329-G329),MAX(0,IF(MONATSBUDGET!$C$23="",0,MONATSBUDGET!$C$23)-SUM(F320:F339)-SUM(H320:H328))))</x:f>
      </x:c>
      <x:c r="I329" s="88" t="str">
        <x:f>IF(C329="","",MAX(0,ROUND(D329+E329-F329-G329-H329,2)))</x:f>
      </x:c>
      <x:c r="J329" s="88" t="str">
        <x:f>IF(C329="","",F329+G329+H329)</x:f>
      </x:c>
      <x:c r="K329" s="88" t="str">
        <x:f>IF(C329="","",MAX(0,SUMIFS(SONDERZAHLUNGEN!$E$9:$E$128,SONDERZAHLUNGEN!$B$9:$B$128,C329,SONDERZAHLUNGEN!$C$9:$C$128,A329,SONDERZAHLUNGEN!$H$9:$H$128,"OK",SONDERZAHLUNGEN!$F$9:$F$128,"Ja")-G329))</x:f>
      </x:c>
    </x:row>
    <x:row r="330" ht="19" customHeight="1">
      <x:c r="A330" s="90" t="n">
        <x:f>MONATSBUDGET!$A$23</x:f>
        <x:v>46692</x:v>
      </x:c>
      <x:c r="B330" t="n">
        <x:f>11</x:f>
        <x:v>11</x:v>
      </x:c>
      <x:c r="C330" t="str">
        <x:f>IF($N$19="","",$N$19)</x:f>
      </x:c>
      <x:c r="D330" s="88" t="str">
        <x:f>IF(C330="","",I310)</x:f>
      </x:c>
      <x:c r="E330" s="88" t="str">
        <x:f>IF(C330="","",ROUND(D330*$P$19/12,2))</x:f>
      </x:c>
      <x:c r="F330" s="88" t="str">
        <x:f>IF(C330="","",MIN(D330+E330,$Q$19))</x:f>
      </x:c>
      <x:c r="G330" s="88" t="str">
        <x:f>IF(C330="","",MIN(MAX(0,D330+E330-F330),SUMIFS(SONDERZAHLUNGEN!$E$9:$E$128,SONDERZAHLUNGEN!$B$9:$B$128,C330,SONDERZAHLUNGEN!$C$9:$C$128,A330,SONDERZAHLUNGEN!$H$9:$H$128,"OK",SONDERZAHLUNGEN!$F$9:$F$128,"Ja")))</x:f>
      </x:c>
      <x:c r="H330" s="88" t="str">
        <x:f>IF(C330="","",MIN(MAX(0,D330+E330-F330-G330),MAX(0,IF(MONATSBUDGET!$C$23="",0,MONATSBUDGET!$C$23)-SUM(F320:F339)-SUM(H320:H329))))</x:f>
      </x:c>
      <x:c r="I330" s="88" t="str">
        <x:f>IF(C330="","",MAX(0,ROUND(D330+E330-F330-G330-H330,2)))</x:f>
      </x:c>
      <x:c r="J330" s="88" t="str">
        <x:f>IF(C330="","",F330+G330+H330)</x:f>
      </x:c>
      <x:c r="K330" s="88" t="str">
        <x:f>IF(C330="","",MAX(0,SUMIFS(SONDERZAHLUNGEN!$E$9:$E$128,SONDERZAHLUNGEN!$B$9:$B$128,C330,SONDERZAHLUNGEN!$C$9:$C$128,A330,SONDERZAHLUNGEN!$H$9:$H$128,"OK",SONDERZAHLUNGEN!$F$9:$F$128,"Ja")-G330))</x:f>
      </x:c>
    </x:row>
    <x:row r="331" ht="19" customHeight="1">
      <x:c r="A331" s="90" t="n">
        <x:f>MONATSBUDGET!$A$23</x:f>
        <x:v>46692</x:v>
      </x:c>
      <x:c r="B331" t="n">
        <x:f>12</x:f>
        <x:v>12</x:v>
      </x:c>
      <x:c r="C331" t="str">
        <x:f>IF($N$20="","",$N$20)</x:f>
      </x:c>
      <x:c r="D331" s="88" t="str">
        <x:f>IF(C331="","",I311)</x:f>
      </x:c>
      <x:c r="E331" s="88" t="str">
        <x:f>IF(C331="","",ROUND(D331*$P$20/12,2))</x:f>
      </x:c>
      <x:c r="F331" s="88" t="str">
        <x:f>IF(C331="","",MIN(D331+E331,$Q$20))</x:f>
      </x:c>
      <x:c r="G331" s="88" t="str">
        <x:f>IF(C331="","",MIN(MAX(0,D331+E331-F331),SUMIFS(SONDERZAHLUNGEN!$E$9:$E$128,SONDERZAHLUNGEN!$B$9:$B$128,C331,SONDERZAHLUNGEN!$C$9:$C$128,A331,SONDERZAHLUNGEN!$H$9:$H$128,"OK",SONDERZAHLUNGEN!$F$9:$F$128,"Ja")))</x:f>
      </x:c>
      <x:c r="H331" s="88" t="str">
        <x:f>IF(C331="","",MIN(MAX(0,D331+E331-F331-G331),MAX(0,IF(MONATSBUDGET!$C$23="",0,MONATSBUDGET!$C$23)-SUM(F320:F339)-SUM(H320:H330))))</x:f>
      </x:c>
      <x:c r="I331" s="88" t="str">
        <x:f>IF(C331="","",MAX(0,ROUND(D331+E331-F331-G331-H331,2)))</x:f>
      </x:c>
      <x:c r="J331" s="88" t="str">
        <x:f>IF(C331="","",F331+G331+H331)</x:f>
      </x:c>
      <x:c r="K331" s="88" t="str">
        <x:f>IF(C331="","",MAX(0,SUMIFS(SONDERZAHLUNGEN!$E$9:$E$128,SONDERZAHLUNGEN!$B$9:$B$128,C331,SONDERZAHLUNGEN!$C$9:$C$128,A331,SONDERZAHLUNGEN!$H$9:$H$128,"OK",SONDERZAHLUNGEN!$F$9:$F$128,"Ja")-G331))</x:f>
      </x:c>
    </x:row>
    <x:row r="332" ht="19" customHeight="1">
      <x:c r="A332" s="90" t="n">
        <x:f>MONATSBUDGET!$A$23</x:f>
        <x:v>46692</x:v>
      </x:c>
      <x:c r="B332" t="n">
        <x:f>13</x:f>
        <x:v>13</x:v>
      </x:c>
      <x:c r="C332" t="str">
        <x:f>IF($N$21="","",$N$21)</x:f>
      </x:c>
      <x:c r="D332" s="88" t="str">
        <x:f>IF(C332="","",I312)</x:f>
      </x:c>
      <x:c r="E332" s="88" t="str">
        <x:f>IF(C332="","",ROUND(D332*$P$21/12,2))</x:f>
      </x:c>
      <x:c r="F332" s="88" t="str">
        <x:f>IF(C332="","",MIN(D332+E332,$Q$21))</x:f>
      </x:c>
      <x:c r="G332" s="88" t="str">
        <x:f>IF(C332="","",MIN(MAX(0,D332+E332-F332),SUMIFS(SONDERZAHLUNGEN!$E$9:$E$128,SONDERZAHLUNGEN!$B$9:$B$128,C332,SONDERZAHLUNGEN!$C$9:$C$128,A332,SONDERZAHLUNGEN!$H$9:$H$128,"OK",SONDERZAHLUNGEN!$F$9:$F$128,"Ja")))</x:f>
      </x:c>
      <x:c r="H332" s="88" t="str">
        <x:f>IF(C332="","",MIN(MAX(0,D332+E332-F332-G332),MAX(0,IF(MONATSBUDGET!$C$23="",0,MONATSBUDGET!$C$23)-SUM(F320:F339)-SUM(H320:H331))))</x:f>
      </x:c>
      <x:c r="I332" s="88" t="str">
        <x:f>IF(C332="","",MAX(0,ROUND(D332+E332-F332-G332-H332,2)))</x:f>
      </x:c>
      <x:c r="J332" s="88" t="str">
        <x:f>IF(C332="","",F332+G332+H332)</x:f>
      </x:c>
      <x:c r="K332" s="88" t="str">
        <x:f>IF(C332="","",MAX(0,SUMIFS(SONDERZAHLUNGEN!$E$9:$E$128,SONDERZAHLUNGEN!$B$9:$B$128,C332,SONDERZAHLUNGEN!$C$9:$C$128,A332,SONDERZAHLUNGEN!$H$9:$H$128,"OK",SONDERZAHLUNGEN!$F$9:$F$128,"Ja")-G332))</x:f>
      </x:c>
    </x:row>
    <x:row r="333" ht="19" customHeight="1">
      <x:c r="A333" s="90" t="n">
        <x:f>MONATSBUDGET!$A$23</x:f>
        <x:v>46692</x:v>
      </x:c>
      <x:c r="B333" t="n">
        <x:f>14</x:f>
        <x:v>14</x:v>
      </x:c>
      <x:c r="C333" t="str">
        <x:f>IF($N$22="","",$N$22)</x:f>
      </x:c>
      <x:c r="D333" s="88" t="str">
        <x:f>IF(C333="","",I313)</x:f>
      </x:c>
      <x:c r="E333" s="88" t="str">
        <x:f>IF(C333="","",ROUND(D333*$P$22/12,2))</x:f>
      </x:c>
      <x:c r="F333" s="88" t="str">
        <x:f>IF(C333="","",MIN(D333+E333,$Q$22))</x:f>
      </x:c>
      <x:c r="G333" s="88" t="str">
        <x:f>IF(C333="","",MIN(MAX(0,D333+E333-F333),SUMIFS(SONDERZAHLUNGEN!$E$9:$E$128,SONDERZAHLUNGEN!$B$9:$B$128,C333,SONDERZAHLUNGEN!$C$9:$C$128,A333,SONDERZAHLUNGEN!$H$9:$H$128,"OK",SONDERZAHLUNGEN!$F$9:$F$128,"Ja")))</x:f>
      </x:c>
      <x:c r="H333" s="88" t="str">
        <x:f>IF(C333="","",MIN(MAX(0,D333+E333-F333-G333),MAX(0,IF(MONATSBUDGET!$C$23="",0,MONATSBUDGET!$C$23)-SUM(F320:F339)-SUM(H320:H332))))</x:f>
      </x:c>
      <x:c r="I333" s="88" t="str">
        <x:f>IF(C333="","",MAX(0,ROUND(D333+E333-F333-G333-H333,2)))</x:f>
      </x:c>
      <x:c r="J333" s="88" t="str">
        <x:f>IF(C333="","",F333+G333+H333)</x:f>
      </x:c>
      <x:c r="K333" s="88" t="str">
        <x:f>IF(C333="","",MAX(0,SUMIFS(SONDERZAHLUNGEN!$E$9:$E$128,SONDERZAHLUNGEN!$B$9:$B$128,C333,SONDERZAHLUNGEN!$C$9:$C$128,A333,SONDERZAHLUNGEN!$H$9:$H$128,"OK",SONDERZAHLUNGEN!$F$9:$F$128,"Ja")-G333))</x:f>
      </x:c>
    </x:row>
    <x:row r="334" ht="19" customHeight="1">
      <x:c r="A334" s="90" t="n">
        <x:f>MONATSBUDGET!$A$23</x:f>
        <x:v>46692</x:v>
      </x:c>
      <x:c r="B334" t="n">
        <x:f>15</x:f>
        <x:v>15</x:v>
      </x:c>
      <x:c r="C334" t="str">
        <x:f>IF($N$23="","",$N$23)</x:f>
      </x:c>
      <x:c r="D334" s="88" t="str">
        <x:f>IF(C334="","",I314)</x:f>
      </x:c>
      <x:c r="E334" s="88" t="str">
        <x:f>IF(C334="","",ROUND(D334*$P$23/12,2))</x:f>
      </x:c>
      <x:c r="F334" s="88" t="str">
        <x:f>IF(C334="","",MIN(D334+E334,$Q$23))</x:f>
      </x:c>
      <x:c r="G334" s="88" t="str">
        <x:f>IF(C334="","",MIN(MAX(0,D334+E334-F334),SUMIFS(SONDERZAHLUNGEN!$E$9:$E$128,SONDERZAHLUNGEN!$B$9:$B$128,C334,SONDERZAHLUNGEN!$C$9:$C$128,A334,SONDERZAHLUNGEN!$H$9:$H$128,"OK",SONDERZAHLUNGEN!$F$9:$F$128,"Ja")))</x:f>
      </x:c>
      <x:c r="H334" s="88" t="str">
        <x:f>IF(C334="","",MIN(MAX(0,D334+E334-F334-G334),MAX(0,IF(MONATSBUDGET!$C$23="",0,MONATSBUDGET!$C$23)-SUM(F320:F339)-SUM(H320:H333))))</x:f>
      </x:c>
      <x:c r="I334" s="88" t="str">
        <x:f>IF(C334="","",MAX(0,ROUND(D334+E334-F334-G334-H334,2)))</x:f>
      </x:c>
      <x:c r="J334" s="88" t="str">
        <x:f>IF(C334="","",F334+G334+H334)</x:f>
      </x:c>
      <x:c r="K334" s="88" t="str">
        <x:f>IF(C334="","",MAX(0,SUMIFS(SONDERZAHLUNGEN!$E$9:$E$128,SONDERZAHLUNGEN!$B$9:$B$128,C334,SONDERZAHLUNGEN!$C$9:$C$128,A334,SONDERZAHLUNGEN!$H$9:$H$128,"OK",SONDERZAHLUNGEN!$F$9:$F$128,"Ja")-G334))</x:f>
      </x:c>
    </x:row>
    <x:row r="335" ht="19" customHeight="1">
      <x:c r="A335" s="90" t="n">
        <x:f>MONATSBUDGET!$A$23</x:f>
        <x:v>46692</x:v>
      </x:c>
      <x:c r="B335" t="n">
        <x:f>16</x:f>
        <x:v>16</x:v>
      </x:c>
      <x:c r="C335" t="str">
        <x:f>IF($N$24="","",$N$24)</x:f>
      </x:c>
      <x:c r="D335" s="88" t="str">
        <x:f>IF(C335="","",I315)</x:f>
      </x:c>
      <x:c r="E335" s="88" t="str">
        <x:f>IF(C335="","",ROUND(D335*$P$24/12,2))</x:f>
      </x:c>
      <x:c r="F335" s="88" t="str">
        <x:f>IF(C335="","",MIN(D335+E335,$Q$24))</x:f>
      </x:c>
      <x:c r="G335" s="88" t="str">
        <x:f>IF(C335="","",MIN(MAX(0,D335+E335-F335),SUMIFS(SONDERZAHLUNGEN!$E$9:$E$128,SONDERZAHLUNGEN!$B$9:$B$128,C335,SONDERZAHLUNGEN!$C$9:$C$128,A335,SONDERZAHLUNGEN!$H$9:$H$128,"OK",SONDERZAHLUNGEN!$F$9:$F$128,"Ja")))</x:f>
      </x:c>
      <x:c r="H335" s="88" t="str">
        <x:f>IF(C335="","",MIN(MAX(0,D335+E335-F335-G335),MAX(0,IF(MONATSBUDGET!$C$23="",0,MONATSBUDGET!$C$23)-SUM(F320:F339)-SUM(H320:H334))))</x:f>
      </x:c>
      <x:c r="I335" s="88" t="str">
        <x:f>IF(C335="","",MAX(0,ROUND(D335+E335-F335-G335-H335,2)))</x:f>
      </x:c>
      <x:c r="J335" s="88" t="str">
        <x:f>IF(C335="","",F335+G335+H335)</x:f>
      </x:c>
      <x:c r="K335" s="88" t="str">
        <x:f>IF(C335="","",MAX(0,SUMIFS(SONDERZAHLUNGEN!$E$9:$E$128,SONDERZAHLUNGEN!$B$9:$B$128,C335,SONDERZAHLUNGEN!$C$9:$C$128,A335,SONDERZAHLUNGEN!$H$9:$H$128,"OK",SONDERZAHLUNGEN!$F$9:$F$128,"Ja")-G335))</x:f>
      </x:c>
    </x:row>
    <x:row r="336" ht="19" customHeight="1">
      <x:c r="A336" s="90" t="n">
        <x:f>MONATSBUDGET!$A$23</x:f>
        <x:v>46692</x:v>
      </x:c>
      <x:c r="B336" t="n">
        <x:f>17</x:f>
        <x:v>17</x:v>
      </x:c>
      <x:c r="C336" t="str">
        <x:f>IF($N$25="","",$N$25)</x:f>
      </x:c>
      <x:c r="D336" s="88" t="str">
        <x:f>IF(C336="","",I316)</x:f>
      </x:c>
      <x:c r="E336" s="88" t="str">
        <x:f>IF(C336="","",ROUND(D336*$P$25/12,2))</x:f>
      </x:c>
      <x:c r="F336" s="88" t="str">
        <x:f>IF(C336="","",MIN(D336+E336,$Q$25))</x:f>
      </x:c>
      <x:c r="G336" s="88" t="str">
        <x:f>IF(C336="","",MIN(MAX(0,D336+E336-F336),SUMIFS(SONDERZAHLUNGEN!$E$9:$E$128,SONDERZAHLUNGEN!$B$9:$B$128,C336,SONDERZAHLUNGEN!$C$9:$C$128,A336,SONDERZAHLUNGEN!$H$9:$H$128,"OK",SONDERZAHLUNGEN!$F$9:$F$128,"Ja")))</x:f>
      </x:c>
      <x:c r="H336" s="88" t="str">
        <x:f>IF(C336="","",MIN(MAX(0,D336+E336-F336-G336),MAX(0,IF(MONATSBUDGET!$C$23="",0,MONATSBUDGET!$C$23)-SUM(F320:F339)-SUM(H320:H335))))</x:f>
      </x:c>
      <x:c r="I336" s="88" t="str">
        <x:f>IF(C336="","",MAX(0,ROUND(D336+E336-F336-G336-H336,2)))</x:f>
      </x:c>
      <x:c r="J336" s="88" t="str">
        <x:f>IF(C336="","",F336+G336+H336)</x:f>
      </x:c>
      <x:c r="K336" s="88" t="str">
        <x:f>IF(C336="","",MAX(0,SUMIFS(SONDERZAHLUNGEN!$E$9:$E$128,SONDERZAHLUNGEN!$B$9:$B$128,C336,SONDERZAHLUNGEN!$C$9:$C$128,A336,SONDERZAHLUNGEN!$H$9:$H$128,"OK",SONDERZAHLUNGEN!$F$9:$F$128,"Ja")-G336))</x:f>
      </x:c>
    </x:row>
    <x:row r="337" ht="19" customHeight="1">
      <x:c r="A337" s="90" t="n">
        <x:f>MONATSBUDGET!$A$23</x:f>
        <x:v>46692</x:v>
      </x:c>
      <x:c r="B337" t="n">
        <x:f>18</x:f>
        <x:v>18</x:v>
      </x:c>
      <x:c r="C337" t="str">
        <x:f>IF($N$26="","",$N$26)</x:f>
      </x:c>
      <x:c r="D337" s="88" t="str">
        <x:f>IF(C337="","",I317)</x:f>
      </x:c>
      <x:c r="E337" s="88" t="str">
        <x:f>IF(C337="","",ROUND(D337*$P$26/12,2))</x:f>
      </x:c>
      <x:c r="F337" s="88" t="str">
        <x:f>IF(C337="","",MIN(D337+E337,$Q$26))</x:f>
      </x:c>
      <x:c r="G337" s="88" t="str">
        <x:f>IF(C337="","",MIN(MAX(0,D337+E337-F337),SUMIFS(SONDERZAHLUNGEN!$E$9:$E$128,SONDERZAHLUNGEN!$B$9:$B$128,C337,SONDERZAHLUNGEN!$C$9:$C$128,A337,SONDERZAHLUNGEN!$H$9:$H$128,"OK",SONDERZAHLUNGEN!$F$9:$F$128,"Ja")))</x:f>
      </x:c>
      <x:c r="H337" s="88" t="str">
        <x:f>IF(C337="","",MIN(MAX(0,D337+E337-F337-G337),MAX(0,IF(MONATSBUDGET!$C$23="",0,MONATSBUDGET!$C$23)-SUM(F320:F339)-SUM(H320:H336))))</x:f>
      </x:c>
      <x:c r="I337" s="88" t="str">
        <x:f>IF(C337="","",MAX(0,ROUND(D337+E337-F337-G337-H337,2)))</x:f>
      </x:c>
      <x:c r="J337" s="88" t="str">
        <x:f>IF(C337="","",F337+G337+H337)</x:f>
      </x:c>
      <x:c r="K337" s="88" t="str">
        <x:f>IF(C337="","",MAX(0,SUMIFS(SONDERZAHLUNGEN!$E$9:$E$128,SONDERZAHLUNGEN!$B$9:$B$128,C337,SONDERZAHLUNGEN!$C$9:$C$128,A337,SONDERZAHLUNGEN!$H$9:$H$128,"OK",SONDERZAHLUNGEN!$F$9:$F$128,"Ja")-G337))</x:f>
      </x:c>
    </x:row>
    <x:row r="338" ht="19" customHeight="1">
      <x:c r="A338" s="90" t="n">
        <x:f>MONATSBUDGET!$A$23</x:f>
        <x:v>46692</x:v>
      </x:c>
      <x:c r="B338" t="n">
        <x:f>19</x:f>
        <x:v>19</x:v>
      </x:c>
      <x:c r="C338" t="str">
        <x:f>IF($N$27="","",$N$27)</x:f>
      </x:c>
      <x:c r="D338" s="88" t="str">
        <x:f>IF(C338="","",I318)</x:f>
      </x:c>
      <x:c r="E338" s="88" t="str">
        <x:f>IF(C338="","",ROUND(D338*$P$27/12,2))</x:f>
      </x:c>
      <x:c r="F338" s="88" t="str">
        <x:f>IF(C338="","",MIN(D338+E338,$Q$27))</x:f>
      </x:c>
      <x:c r="G338" s="88" t="str">
        <x:f>IF(C338="","",MIN(MAX(0,D338+E338-F338),SUMIFS(SONDERZAHLUNGEN!$E$9:$E$128,SONDERZAHLUNGEN!$B$9:$B$128,C338,SONDERZAHLUNGEN!$C$9:$C$128,A338,SONDERZAHLUNGEN!$H$9:$H$128,"OK",SONDERZAHLUNGEN!$F$9:$F$128,"Ja")))</x:f>
      </x:c>
      <x:c r="H338" s="88" t="str">
        <x:f>IF(C338="","",MIN(MAX(0,D338+E338-F338-G338),MAX(0,IF(MONATSBUDGET!$C$23="",0,MONATSBUDGET!$C$23)-SUM(F320:F339)-SUM(H320:H337))))</x:f>
      </x:c>
      <x:c r="I338" s="88" t="str">
        <x:f>IF(C338="","",MAX(0,ROUND(D338+E338-F338-G338-H338,2)))</x:f>
      </x:c>
      <x:c r="J338" s="88" t="str">
        <x:f>IF(C338="","",F338+G338+H338)</x:f>
      </x:c>
      <x:c r="K338" s="88" t="str">
        <x:f>IF(C338="","",MAX(0,SUMIFS(SONDERZAHLUNGEN!$E$9:$E$128,SONDERZAHLUNGEN!$B$9:$B$128,C338,SONDERZAHLUNGEN!$C$9:$C$128,A338,SONDERZAHLUNGEN!$H$9:$H$128,"OK",SONDERZAHLUNGEN!$F$9:$F$128,"Ja")-G338))</x:f>
      </x:c>
    </x:row>
    <x:row r="339" ht="19" customHeight="1">
      <x:c r="A339" s="90" t="n">
        <x:f>MONATSBUDGET!$A$23</x:f>
        <x:v>46692</x:v>
      </x:c>
      <x:c r="B339" t="n">
        <x:f>20</x:f>
        <x:v>20</x:v>
      </x:c>
      <x:c r="C339" t="str">
        <x:f>IF($N$28="","",$N$28)</x:f>
      </x:c>
      <x:c r="D339" s="88" t="str">
        <x:f>IF(C339="","",I319)</x:f>
      </x:c>
      <x:c r="E339" s="88" t="str">
        <x:f>IF(C339="","",ROUND(D339*$P$28/12,2))</x:f>
      </x:c>
      <x:c r="F339" s="88" t="str">
        <x:f>IF(C339="","",MIN(D339+E339,$Q$28))</x:f>
      </x:c>
      <x:c r="G339" s="88" t="str">
        <x:f>IF(C339="","",MIN(MAX(0,D339+E339-F339),SUMIFS(SONDERZAHLUNGEN!$E$9:$E$128,SONDERZAHLUNGEN!$B$9:$B$128,C339,SONDERZAHLUNGEN!$C$9:$C$128,A339,SONDERZAHLUNGEN!$H$9:$H$128,"OK",SONDERZAHLUNGEN!$F$9:$F$128,"Ja")))</x:f>
      </x:c>
      <x:c r="H339" s="88" t="str">
        <x:f>IF(C339="","",MIN(MAX(0,D339+E339-F339-G339),MAX(0,IF(MONATSBUDGET!$C$23="",0,MONATSBUDGET!$C$23)-SUM(F320:F339)-SUM(H320:H338))))</x:f>
      </x:c>
      <x:c r="I339" s="88" t="str">
        <x:f>IF(C339="","",MAX(0,ROUND(D339+E339-F339-G339-H339,2)))</x:f>
      </x:c>
      <x:c r="J339" s="88" t="str">
        <x:f>IF(C339="","",F339+G339+H339)</x:f>
      </x:c>
      <x:c r="K339" s="88" t="str">
        <x:f>IF(C339="","",MAX(0,SUMIFS(SONDERZAHLUNGEN!$E$9:$E$128,SONDERZAHLUNGEN!$B$9:$B$128,C339,SONDERZAHLUNGEN!$C$9:$C$128,A339,SONDERZAHLUNGEN!$H$9:$H$128,"OK",SONDERZAHLUNGEN!$F$9:$F$128,"Ja")-G339))</x:f>
      </x:c>
    </x:row>
    <x:row r="340" ht="19" customHeight="1">
      <x:c r="A340" s="90" t="n">
        <x:f>MONATSBUDGET!$A$24</x:f>
        <x:v>46722</x:v>
      </x:c>
      <x:c r="B340" t="n">
        <x:f>1</x:f>
        <x:v>1</x:v>
      </x:c>
      <x:c r="C340" t="str">
        <x:f>IF($N$9="","",$N$9)</x:f>
      </x:c>
      <x:c r="D340" s="88" t="str">
        <x:f>IF(C340="","",I320)</x:f>
      </x:c>
      <x:c r="E340" s="88" t="str">
        <x:f>IF(C340="","",ROUND(D340*$P$9/12,2))</x:f>
      </x:c>
      <x:c r="F340" s="88" t="str">
        <x:f>IF(C340="","",MIN(D340+E340,$Q$9))</x:f>
      </x:c>
      <x:c r="G340" s="88" t="str">
        <x:f>IF(C340="","",MIN(MAX(0,D340+E340-F340),SUMIFS(SONDERZAHLUNGEN!$E$9:$E$128,SONDERZAHLUNGEN!$B$9:$B$128,C340,SONDERZAHLUNGEN!$C$9:$C$128,A340,SONDERZAHLUNGEN!$H$9:$H$128,"OK",SONDERZAHLUNGEN!$F$9:$F$128,"Ja")))</x:f>
      </x:c>
      <x:c r="H340" s="88" t="str">
        <x:f>IF(C340="","",MIN(MAX(0,D340+E340-F340-G340),MAX(0,IF(MONATSBUDGET!$C$24="",0,MONATSBUDGET!$C$24)-SUM(F340:F359)-0)))</x:f>
      </x:c>
      <x:c r="I340" s="88" t="str">
        <x:f>IF(C340="","",MAX(0,ROUND(D340+E340-F340-G340-H340,2)))</x:f>
      </x:c>
      <x:c r="J340" s="88" t="str">
        <x:f>IF(C340="","",F340+G340+H340)</x:f>
      </x:c>
      <x:c r="K340" s="88" t="str">
        <x:f>IF(C340="","",MAX(0,SUMIFS(SONDERZAHLUNGEN!$E$9:$E$128,SONDERZAHLUNGEN!$B$9:$B$128,C340,SONDERZAHLUNGEN!$C$9:$C$128,A340,SONDERZAHLUNGEN!$H$9:$H$128,"OK",SONDERZAHLUNGEN!$F$9:$F$128,"Ja")-G340))</x:f>
      </x:c>
    </x:row>
    <x:row r="341" ht="19" customHeight="1">
      <x:c r="A341" s="90" t="n">
        <x:f>MONATSBUDGET!$A$24</x:f>
        <x:v>46722</x:v>
      </x:c>
      <x:c r="B341" t="n">
        <x:f>2</x:f>
        <x:v>2</x:v>
      </x:c>
      <x:c r="C341" t="str">
        <x:f>IF($N$10="","",$N$10)</x:f>
      </x:c>
      <x:c r="D341" s="88" t="str">
        <x:f>IF(C341="","",I321)</x:f>
      </x:c>
      <x:c r="E341" s="88" t="str">
        <x:f>IF(C341="","",ROUND(D341*$P$10/12,2))</x:f>
      </x:c>
      <x:c r="F341" s="88" t="str">
        <x:f>IF(C341="","",MIN(D341+E341,$Q$10))</x:f>
      </x:c>
      <x:c r="G341" s="88" t="str">
        <x:f>IF(C341="","",MIN(MAX(0,D341+E341-F341),SUMIFS(SONDERZAHLUNGEN!$E$9:$E$128,SONDERZAHLUNGEN!$B$9:$B$128,C341,SONDERZAHLUNGEN!$C$9:$C$128,A341,SONDERZAHLUNGEN!$H$9:$H$128,"OK",SONDERZAHLUNGEN!$F$9:$F$128,"Ja")))</x:f>
      </x:c>
      <x:c r="H341" s="88" t="str">
        <x:f>IF(C341="","",MIN(MAX(0,D341+E341-F341-G341),MAX(0,IF(MONATSBUDGET!$C$24="",0,MONATSBUDGET!$C$24)-SUM(F340:F359)-SUM(H340:H340))))</x:f>
      </x:c>
      <x:c r="I341" s="88" t="str">
        <x:f>IF(C341="","",MAX(0,ROUND(D341+E341-F341-G341-H341,2)))</x:f>
      </x:c>
      <x:c r="J341" s="88" t="str">
        <x:f>IF(C341="","",F341+G341+H341)</x:f>
      </x:c>
      <x:c r="K341" s="88" t="str">
        <x:f>IF(C341="","",MAX(0,SUMIFS(SONDERZAHLUNGEN!$E$9:$E$128,SONDERZAHLUNGEN!$B$9:$B$128,C341,SONDERZAHLUNGEN!$C$9:$C$128,A341,SONDERZAHLUNGEN!$H$9:$H$128,"OK",SONDERZAHLUNGEN!$F$9:$F$128,"Ja")-G341))</x:f>
      </x:c>
    </x:row>
    <x:row r="342" ht="19" customHeight="1">
      <x:c r="A342" s="90" t="n">
        <x:f>MONATSBUDGET!$A$24</x:f>
        <x:v>46722</x:v>
      </x:c>
      <x:c r="B342" t="n">
        <x:f>3</x:f>
        <x:v>3</x:v>
      </x:c>
      <x:c r="C342" t="str">
        <x:f>IF($N$11="","",$N$11)</x:f>
      </x:c>
      <x:c r="D342" s="88" t="str">
        <x:f>IF(C342="","",I322)</x:f>
      </x:c>
      <x:c r="E342" s="88" t="str">
        <x:f>IF(C342="","",ROUND(D342*$P$11/12,2))</x:f>
      </x:c>
      <x:c r="F342" s="88" t="str">
        <x:f>IF(C342="","",MIN(D342+E342,$Q$11))</x:f>
      </x:c>
      <x:c r="G342" s="88" t="str">
        <x:f>IF(C342="","",MIN(MAX(0,D342+E342-F342),SUMIFS(SONDERZAHLUNGEN!$E$9:$E$128,SONDERZAHLUNGEN!$B$9:$B$128,C342,SONDERZAHLUNGEN!$C$9:$C$128,A342,SONDERZAHLUNGEN!$H$9:$H$128,"OK",SONDERZAHLUNGEN!$F$9:$F$128,"Ja")))</x:f>
      </x:c>
      <x:c r="H342" s="88" t="str">
        <x:f>IF(C342="","",MIN(MAX(0,D342+E342-F342-G342),MAX(0,IF(MONATSBUDGET!$C$24="",0,MONATSBUDGET!$C$24)-SUM(F340:F359)-SUM(H340:H341))))</x:f>
      </x:c>
      <x:c r="I342" s="88" t="str">
        <x:f>IF(C342="","",MAX(0,ROUND(D342+E342-F342-G342-H342,2)))</x:f>
      </x:c>
      <x:c r="J342" s="88" t="str">
        <x:f>IF(C342="","",F342+G342+H342)</x:f>
      </x:c>
      <x:c r="K342" s="88" t="str">
        <x:f>IF(C342="","",MAX(0,SUMIFS(SONDERZAHLUNGEN!$E$9:$E$128,SONDERZAHLUNGEN!$B$9:$B$128,C342,SONDERZAHLUNGEN!$C$9:$C$128,A342,SONDERZAHLUNGEN!$H$9:$H$128,"OK",SONDERZAHLUNGEN!$F$9:$F$128,"Ja")-G342))</x:f>
      </x:c>
    </x:row>
    <x:row r="343" ht="19" customHeight="1">
      <x:c r="A343" s="90" t="n">
        <x:f>MONATSBUDGET!$A$24</x:f>
        <x:v>46722</x:v>
      </x:c>
      <x:c r="B343" t="n">
        <x:f>4</x:f>
        <x:v>4</x:v>
      </x:c>
      <x:c r="C343" t="str">
        <x:f>IF($N$12="","",$N$12)</x:f>
      </x:c>
      <x:c r="D343" s="88" t="str">
        <x:f>IF(C343="","",I323)</x:f>
      </x:c>
      <x:c r="E343" s="88" t="str">
        <x:f>IF(C343="","",ROUND(D343*$P$12/12,2))</x:f>
      </x:c>
      <x:c r="F343" s="88" t="str">
        <x:f>IF(C343="","",MIN(D343+E343,$Q$12))</x:f>
      </x:c>
      <x:c r="G343" s="88" t="str">
        <x:f>IF(C343="","",MIN(MAX(0,D343+E343-F343),SUMIFS(SONDERZAHLUNGEN!$E$9:$E$128,SONDERZAHLUNGEN!$B$9:$B$128,C343,SONDERZAHLUNGEN!$C$9:$C$128,A343,SONDERZAHLUNGEN!$H$9:$H$128,"OK",SONDERZAHLUNGEN!$F$9:$F$128,"Ja")))</x:f>
      </x:c>
      <x:c r="H343" s="88" t="str">
        <x:f>IF(C343="","",MIN(MAX(0,D343+E343-F343-G343),MAX(0,IF(MONATSBUDGET!$C$24="",0,MONATSBUDGET!$C$24)-SUM(F340:F359)-SUM(H340:H342))))</x:f>
      </x:c>
      <x:c r="I343" s="88" t="str">
        <x:f>IF(C343="","",MAX(0,ROUND(D343+E343-F343-G343-H343,2)))</x:f>
      </x:c>
      <x:c r="J343" s="88" t="str">
        <x:f>IF(C343="","",F343+G343+H343)</x:f>
      </x:c>
      <x:c r="K343" s="88" t="str">
        <x:f>IF(C343="","",MAX(0,SUMIFS(SONDERZAHLUNGEN!$E$9:$E$128,SONDERZAHLUNGEN!$B$9:$B$128,C343,SONDERZAHLUNGEN!$C$9:$C$128,A343,SONDERZAHLUNGEN!$H$9:$H$128,"OK",SONDERZAHLUNGEN!$F$9:$F$128,"Ja")-G343))</x:f>
      </x:c>
    </x:row>
    <x:row r="344" ht="19" customHeight="1">
      <x:c r="A344" s="90" t="n">
        <x:f>MONATSBUDGET!$A$24</x:f>
        <x:v>46722</x:v>
      </x:c>
      <x:c r="B344" t="n">
        <x:f>5</x:f>
        <x:v>5</x:v>
      </x:c>
      <x:c r="C344" t="str">
        <x:f>IF($N$13="","",$N$13)</x:f>
      </x:c>
      <x:c r="D344" s="88" t="str">
        <x:f>IF(C344="","",I324)</x:f>
      </x:c>
      <x:c r="E344" s="88" t="str">
        <x:f>IF(C344="","",ROUND(D344*$P$13/12,2))</x:f>
      </x:c>
      <x:c r="F344" s="88" t="str">
        <x:f>IF(C344="","",MIN(D344+E344,$Q$13))</x:f>
      </x:c>
      <x:c r="G344" s="88" t="str">
        <x:f>IF(C344="","",MIN(MAX(0,D344+E344-F344),SUMIFS(SONDERZAHLUNGEN!$E$9:$E$128,SONDERZAHLUNGEN!$B$9:$B$128,C344,SONDERZAHLUNGEN!$C$9:$C$128,A344,SONDERZAHLUNGEN!$H$9:$H$128,"OK",SONDERZAHLUNGEN!$F$9:$F$128,"Ja")))</x:f>
      </x:c>
      <x:c r="H344" s="88" t="str">
        <x:f>IF(C344="","",MIN(MAX(0,D344+E344-F344-G344),MAX(0,IF(MONATSBUDGET!$C$24="",0,MONATSBUDGET!$C$24)-SUM(F340:F359)-SUM(H340:H343))))</x:f>
      </x:c>
      <x:c r="I344" s="88" t="str">
        <x:f>IF(C344="","",MAX(0,ROUND(D344+E344-F344-G344-H344,2)))</x:f>
      </x:c>
      <x:c r="J344" s="88" t="str">
        <x:f>IF(C344="","",F344+G344+H344)</x:f>
      </x:c>
      <x:c r="K344" s="88" t="str">
        <x:f>IF(C344="","",MAX(0,SUMIFS(SONDERZAHLUNGEN!$E$9:$E$128,SONDERZAHLUNGEN!$B$9:$B$128,C344,SONDERZAHLUNGEN!$C$9:$C$128,A344,SONDERZAHLUNGEN!$H$9:$H$128,"OK",SONDERZAHLUNGEN!$F$9:$F$128,"Ja")-G344))</x:f>
      </x:c>
    </x:row>
    <x:row r="345" ht="19" customHeight="1">
      <x:c r="A345" s="90" t="n">
        <x:f>MONATSBUDGET!$A$24</x:f>
        <x:v>46722</x:v>
      </x:c>
      <x:c r="B345" t="n">
        <x:f>6</x:f>
        <x:v>6</x:v>
      </x:c>
      <x:c r="C345" t="str">
        <x:f>IF($N$14="","",$N$14)</x:f>
      </x:c>
      <x:c r="D345" s="88" t="str">
        <x:f>IF(C345="","",I325)</x:f>
      </x:c>
      <x:c r="E345" s="88" t="str">
        <x:f>IF(C345="","",ROUND(D345*$P$14/12,2))</x:f>
      </x:c>
      <x:c r="F345" s="88" t="str">
        <x:f>IF(C345="","",MIN(D345+E345,$Q$14))</x:f>
      </x:c>
      <x:c r="G345" s="88" t="str">
        <x:f>IF(C345="","",MIN(MAX(0,D345+E345-F345),SUMIFS(SONDERZAHLUNGEN!$E$9:$E$128,SONDERZAHLUNGEN!$B$9:$B$128,C345,SONDERZAHLUNGEN!$C$9:$C$128,A345,SONDERZAHLUNGEN!$H$9:$H$128,"OK",SONDERZAHLUNGEN!$F$9:$F$128,"Ja")))</x:f>
      </x:c>
      <x:c r="H345" s="88" t="str">
        <x:f>IF(C345="","",MIN(MAX(0,D345+E345-F345-G345),MAX(0,IF(MONATSBUDGET!$C$24="",0,MONATSBUDGET!$C$24)-SUM(F340:F359)-SUM(H340:H344))))</x:f>
      </x:c>
      <x:c r="I345" s="88" t="str">
        <x:f>IF(C345="","",MAX(0,ROUND(D345+E345-F345-G345-H345,2)))</x:f>
      </x:c>
      <x:c r="J345" s="88" t="str">
        <x:f>IF(C345="","",F345+G345+H345)</x:f>
      </x:c>
      <x:c r="K345" s="88" t="str">
        <x:f>IF(C345="","",MAX(0,SUMIFS(SONDERZAHLUNGEN!$E$9:$E$128,SONDERZAHLUNGEN!$B$9:$B$128,C345,SONDERZAHLUNGEN!$C$9:$C$128,A345,SONDERZAHLUNGEN!$H$9:$H$128,"OK",SONDERZAHLUNGEN!$F$9:$F$128,"Ja")-G345))</x:f>
      </x:c>
    </x:row>
    <x:row r="346" ht="19" customHeight="1">
      <x:c r="A346" s="90" t="n">
        <x:f>MONATSBUDGET!$A$24</x:f>
        <x:v>46722</x:v>
      </x:c>
      <x:c r="B346" t="n">
        <x:f>7</x:f>
        <x:v>7</x:v>
      </x:c>
      <x:c r="C346" t="str">
        <x:f>IF($N$15="","",$N$15)</x:f>
      </x:c>
      <x:c r="D346" s="88" t="str">
        <x:f>IF(C346="","",I326)</x:f>
      </x:c>
      <x:c r="E346" s="88" t="str">
        <x:f>IF(C346="","",ROUND(D346*$P$15/12,2))</x:f>
      </x:c>
      <x:c r="F346" s="88" t="str">
        <x:f>IF(C346="","",MIN(D346+E346,$Q$15))</x:f>
      </x:c>
      <x:c r="G346" s="88" t="str">
        <x:f>IF(C346="","",MIN(MAX(0,D346+E346-F346),SUMIFS(SONDERZAHLUNGEN!$E$9:$E$128,SONDERZAHLUNGEN!$B$9:$B$128,C346,SONDERZAHLUNGEN!$C$9:$C$128,A346,SONDERZAHLUNGEN!$H$9:$H$128,"OK",SONDERZAHLUNGEN!$F$9:$F$128,"Ja")))</x:f>
      </x:c>
      <x:c r="H346" s="88" t="str">
        <x:f>IF(C346="","",MIN(MAX(0,D346+E346-F346-G346),MAX(0,IF(MONATSBUDGET!$C$24="",0,MONATSBUDGET!$C$24)-SUM(F340:F359)-SUM(H340:H345))))</x:f>
      </x:c>
      <x:c r="I346" s="88" t="str">
        <x:f>IF(C346="","",MAX(0,ROUND(D346+E346-F346-G346-H346,2)))</x:f>
      </x:c>
      <x:c r="J346" s="88" t="str">
        <x:f>IF(C346="","",F346+G346+H346)</x:f>
      </x:c>
      <x:c r="K346" s="88" t="str">
        <x:f>IF(C346="","",MAX(0,SUMIFS(SONDERZAHLUNGEN!$E$9:$E$128,SONDERZAHLUNGEN!$B$9:$B$128,C346,SONDERZAHLUNGEN!$C$9:$C$128,A346,SONDERZAHLUNGEN!$H$9:$H$128,"OK",SONDERZAHLUNGEN!$F$9:$F$128,"Ja")-G346))</x:f>
      </x:c>
    </x:row>
    <x:row r="347" ht="19" customHeight="1">
      <x:c r="A347" s="90" t="n">
        <x:f>MONATSBUDGET!$A$24</x:f>
        <x:v>46722</x:v>
      </x:c>
      <x:c r="B347" t="n">
        <x:f>8</x:f>
        <x:v>8</x:v>
      </x:c>
      <x:c r="C347" t="str">
        <x:f>IF($N$16="","",$N$16)</x:f>
      </x:c>
      <x:c r="D347" s="88" t="str">
        <x:f>IF(C347="","",I327)</x:f>
      </x:c>
      <x:c r="E347" s="88" t="str">
        <x:f>IF(C347="","",ROUND(D347*$P$16/12,2))</x:f>
      </x:c>
      <x:c r="F347" s="88" t="str">
        <x:f>IF(C347="","",MIN(D347+E347,$Q$16))</x:f>
      </x:c>
      <x:c r="G347" s="88" t="str">
        <x:f>IF(C347="","",MIN(MAX(0,D347+E347-F347),SUMIFS(SONDERZAHLUNGEN!$E$9:$E$128,SONDERZAHLUNGEN!$B$9:$B$128,C347,SONDERZAHLUNGEN!$C$9:$C$128,A347,SONDERZAHLUNGEN!$H$9:$H$128,"OK",SONDERZAHLUNGEN!$F$9:$F$128,"Ja")))</x:f>
      </x:c>
      <x:c r="H347" s="88" t="str">
        <x:f>IF(C347="","",MIN(MAX(0,D347+E347-F347-G347),MAX(0,IF(MONATSBUDGET!$C$24="",0,MONATSBUDGET!$C$24)-SUM(F340:F359)-SUM(H340:H346))))</x:f>
      </x:c>
      <x:c r="I347" s="88" t="str">
        <x:f>IF(C347="","",MAX(0,ROUND(D347+E347-F347-G347-H347,2)))</x:f>
      </x:c>
      <x:c r="J347" s="88" t="str">
        <x:f>IF(C347="","",F347+G347+H347)</x:f>
      </x:c>
      <x:c r="K347" s="88" t="str">
        <x:f>IF(C347="","",MAX(0,SUMIFS(SONDERZAHLUNGEN!$E$9:$E$128,SONDERZAHLUNGEN!$B$9:$B$128,C347,SONDERZAHLUNGEN!$C$9:$C$128,A347,SONDERZAHLUNGEN!$H$9:$H$128,"OK",SONDERZAHLUNGEN!$F$9:$F$128,"Ja")-G347))</x:f>
      </x:c>
    </x:row>
    <x:row r="348" ht="19" customHeight="1">
      <x:c r="A348" s="90" t="n">
        <x:f>MONATSBUDGET!$A$24</x:f>
        <x:v>46722</x:v>
      </x:c>
      <x:c r="B348" t="n">
        <x:f>9</x:f>
        <x:v>9</x:v>
      </x:c>
      <x:c r="C348" t="str">
        <x:f>IF($N$17="","",$N$17)</x:f>
      </x:c>
      <x:c r="D348" s="88" t="str">
        <x:f>IF(C348="","",I328)</x:f>
      </x:c>
      <x:c r="E348" s="88" t="str">
        <x:f>IF(C348="","",ROUND(D348*$P$17/12,2))</x:f>
      </x:c>
      <x:c r="F348" s="88" t="str">
        <x:f>IF(C348="","",MIN(D348+E348,$Q$17))</x:f>
      </x:c>
      <x:c r="G348" s="88" t="str">
        <x:f>IF(C348="","",MIN(MAX(0,D348+E348-F348),SUMIFS(SONDERZAHLUNGEN!$E$9:$E$128,SONDERZAHLUNGEN!$B$9:$B$128,C348,SONDERZAHLUNGEN!$C$9:$C$128,A348,SONDERZAHLUNGEN!$H$9:$H$128,"OK",SONDERZAHLUNGEN!$F$9:$F$128,"Ja")))</x:f>
      </x:c>
      <x:c r="H348" s="88" t="str">
        <x:f>IF(C348="","",MIN(MAX(0,D348+E348-F348-G348),MAX(0,IF(MONATSBUDGET!$C$24="",0,MONATSBUDGET!$C$24)-SUM(F340:F359)-SUM(H340:H347))))</x:f>
      </x:c>
      <x:c r="I348" s="88" t="str">
        <x:f>IF(C348="","",MAX(0,ROUND(D348+E348-F348-G348-H348,2)))</x:f>
      </x:c>
      <x:c r="J348" s="88" t="str">
        <x:f>IF(C348="","",F348+G348+H348)</x:f>
      </x:c>
      <x:c r="K348" s="88" t="str">
        <x:f>IF(C348="","",MAX(0,SUMIFS(SONDERZAHLUNGEN!$E$9:$E$128,SONDERZAHLUNGEN!$B$9:$B$128,C348,SONDERZAHLUNGEN!$C$9:$C$128,A348,SONDERZAHLUNGEN!$H$9:$H$128,"OK",SONDERZAHLUNGEN!$F$9:$F$128,"Ja")-G348))</x:f>
      </x:c>
    </x:row>
    <x:row r="349" ht="19" customHeight="1">
      <x:c r="A349" s="90" t="n">
        <x:f>MONATSBUDGET!$A$24</x:f>
        <x:v>46722</x:v>
      </x:c>
      <x:c r="B349" t="n">
        <x:f>10</x:f>
        <x:v>10</x:v>
      </x:c>
      <x:c r="C349" t="str">
        <x:f>IF($N$18="","",$N$18)</x:f>
      </x:c>
      <x:c r="D349" s="88" t="str">
        <x:f>IF(C349="","",I329)</x:f>
      </x:c>
      <x:c r="E349" s="88" t="str">
        <x:f>IF(C349="","",ROUND(D349*$P$18/12,2))</x:f>
      </x:c>
      <x:c r="F349" s="88" t="str">
        <x:f>IF(C349="","",MIN(D349+E349,$Q$18))</x:f>
      </x:c>
      <x:c r="G349" s="88" t="str">
        <x:f>IF(C349="","",MIN(MAX(0,D349+E349-F349),SUMIFS(SONDERZAHLUNGEN!$E$9:$E$128,SONDERZAHLUNGEN!$B$9:$B$128,C349,SONDERZAHLUNGEN!$C$9:$C$128,A349,SONDERZAHLUNGEN!$H$9:$H$128,"OK",SONDERZAHLUNGEN!$F$9:$F$128,"Ja")))</x:f>
      </x:c>
      <x:c r="H349" s="88" t="str">
        <x:f>IF(C349="","",MIN(MAX(0,D349+E349-F349-G349),MAX(0,IF(MONATSBUDGET!$C$24="",0,MONATSBUDGET!$C$24)-SUM(F340:F359)-SUM(H340:H348))))</x:f>
      </x:c>
      <x:c r="I349" s="88" t="str">
        <x:f>IF(C349="","",MAX(0,ROUND(D349+E349-F349-G349-H349,2)))</x:f>
      </x:c>
      <x:c r="J349" s="88" t="str">
        <x:f>IF(C349="","",F349+G349+H349)</x:f>
      </x:c>
      <x:c r="K349" s="88" t="str">
        <x:f>IF(C349="","",MAX(0,SUMIFS(SONDERZAHLUNGEN!$E$9:$E$128,SONDERZAHLUNGEN!$B$9:$B$128,C349,SONDERZAHLUNGEN!$C$9:$C$128,A349,SONDERZAHLUNGEN!$H$9:$H$128,"OK",SONDERZAHLUNGEN!$F$9:$F$128,"Ja")-G349))</x:f>
      </x:c>
    </x:row>
    <x:row r="350" ht="19" customHeight="1">
      <x:c r="A350" s="90" t="n">
        <x:f>MONATSBUDGET!$A$24</x:f>
        <x:v>46722</x:v>
      </x:c>
      <x:c r="B350" t="n">
        <x:f>11</x:f>
        <x:v>11</x:v>
      </x:c>
      <x:c r="C350" t="str">
        <x:f>IF($N$19="","",$N$19)</x:f>
      </x:c>
      <x:c r="D350" s="88" t="str">
        <x:f>IF(C350="","",I330)</x:f>
      </x:c>
      <x:c r="E350" s="88" t="str">
        <x:f>IF(C350="","",ROUND(D350*$P$19/12,2))</x:f>
      </x:c>
      <x:c r="F350" s="88" t="str">
        <x:f>IF(C350="","",MIN(D350+E350,$Q$19))</x:f>
      </x:c>
      <x:c r="G350" s="88" t="str">
        <x:f>IF(C350="","",MIN(MAX(0,D350+E350-F350),SUMIFS(SONDERZAHLUNGEN!$E$9:$E$128,SONDERZAHLUNGEN!$B$9:$B$128,C350,SONDERZAHLUNGEN!$C$9:$C$128,A350,SONDERZAHLUNGEN!$H$9:$H$128,"OK",SONDERZAHLUNGEN!$F$9:$F$128,"Ja")))</x:f>
      </x:c>
      <x:c r="H350" s="88" t="str">
        <x:f>IF(C350="","",MIN(MAX(0,D350+E350-F350-G350),MAX(0,IF(MONATSBUDGET!$C$24="",0,MONATSBUDGET!$C$24)-SUM(F340:F359)-SUM(H340:H349))))</x:f>
      </x:c>
      <x:c r="I350" s="88" t="str">
        <x:f>IF(C350="","",MAX(0,ROUND(D350+E350-F350-G350-H350,2)))</x:f>
      </x:c>
      <x:c r="J350" s="88" t="str">
        <x:f>IF(C350="","",F350+G350+H350)</x:f>
      </x:c>
      <x:c r="K350" s="88" t="str">
        <x:f>IF(C350="","",MAX(0,SUMIFS(SONDERZAHLUNGEN!$E$9:$E$128,SONDERZAHLUNGEN!$B$9:$B$128,C350,SONDERZAHLUNGEN!$C$9:$C$128,A350,SONDERZAHLUNGEN!$H$9:$H$128,"OK",SONDERZAHLUNGEN!$F$9:$F$128,"Ja")-G350))</x:f>
      </x:c>
    </x:row>
    <x:row r="351" ht="19" customHeight="1">
      <x:c r="A351" s="90" t="n">
        <x:f>MONATSBUDGET!$A$24</x:f>
        <x:v>46722</x:v>
      </x:c>
      <x:c r="B351" t="n">
        <x:f>12</x:f>
        <x:v>12</x:v>
      </x:c>
      <x:c r="C351" t="str">
        <x:f>IF($N$20="","",$N$20)</x:f>
      </x:c>
      <x:c r="D351" s="88" t="str">
        <x:f>IF(C351="","",I331)</x:f>
      </x:c>
      <x:c r="E351" s="88" t="str">
        <x:f>IF(C351="","",ROUND(D351*$P$20/12,2))</x:f>
      </x:c>
      <x:c r="F351" s="88" t="str">
        <x:f>IF(C351="","",MIN(D351+E351,$Q$20))</x:f>
      </x:c>
      <x:c r="G351" s="88" t="str">
        <x:f>IF(C351="","",MIN(MAX(0,D351+E351-F351),SUMIFS(SONDERZAHLUNGEN!$E$9:$E$128,SONDERZAHLUNGEN!$B$9:$B$128,C351,SONDERZAHLUNGEN!$C$9:$C$128,A351,SONDERZAHLUNGEN!$H$9:$H$128,"OK",SONDERZAHLUNGEN!$F$9:$F$128,"Ja")))</x:f>
      </x:c>
      <x:c r="H351" s="88" t="str">
        <x:f>IF(C351="","",MIN(MAX(0,D351+E351-F351-G351),MAX(0,IF(MONATSBUDGET!$C$24="",0,MONATSBUDGET!$C$24)-SUM(F340:F359)-SUM(H340:H350))))</x:f>
      </x:c>
      <x:c r="I351" s="88" t="str">
        <x:f>IF(C351="","",MAX(0,ROUND(D351+E351-F351-G351-H351,2)))</x:f>
      </x:c>
      <x:c r="J351" s="88" t="str">
        <x:f>IF(C351="","",F351+G351+H351)</x:f>
      </x:c>
      <x:c r="K351" s="88" t="str">
        <x:f>IF(C351="","",MAX(0,SUMIFS(SONDERZAHLUNGEN!$E$9:$E$128,SONDERZAHLUNGEN!$B$9:$B$128,C351,SONDERZAHLUNGEN!$C$9:$C$128,A351,SONDERZAHLUNGEN!$H$9:$H$128,"OK",SONDERZAHLUNGEN!$F$9:$F$128,"Ja")-G351))</x:f>
      </x:c>
    </x:row>
    <x:row r="352" ht="19" customHeight="1">
      <x:c r="A352" s="90" t="n">
        <x:f>MONATSBUDGET!$A$24</x:f>
        <x:v>46722</x:v>
      </x:c>
      <x:c r="B352" t="n">
        <x:f>13</x:f>
        <x:v>13</x:v>
      </x:c>
      <x:c r="C352" t="str">
        <x:f>IF($N$21="","",$N$21)</x:f>
      </x:c>
      <x:c r="D352" s="88" t="str">
        <x:f>IF(C352="","",I332)</x:f>
      </x:c>
      <x:c r="E352" s="88" t="str">
        <x:f>IF(C352="","",ROUND(D352*$P$21/12,2))</x:f>
      </x:c>
      <x:c r="F352" s="88" t="str">
        <x:f>IF(C352="","",MIN(D352+E352,$Q$21))</x:f>
      </x:c>
      <x:c r="G352" s="88" t="str">
        <x:f>IF(C352="","",MIN(MAX(0,D352+E352-F352),SUMIFS(SONDERZAHLUNGEN!$E$9:$E$128,SONDERZAHLUNGEN!$B$9:$B$128,C352,SONDERZAHLUNGEN!$C$9:$C$128,A352,SONDERZAHLUNGEN!$H$9:$H$128,"OK",SONDERZAHLUNGEN!$F$9:$F$128,"Ja")))</x:f>
      </x:c>
      <x:c r="H352" s="88" t="str">
        <x:f>IF(C352="","",MIN(MAX(0,D352+E352-F352-G352),MAX(0,IF(MONATSBUDGET!$C$24="",0,MONATSBUDGET!$C$24)-SUM(F340:F359)-SUM(H340:H351))))</x:f>
      </x:c>
      <x:c r="I352" s="88" t="str">
        <x:f>IF(C352="","",MAX(0,ROUND(D352+E352-F352-G352-H352,2)))</x:f>
      </x:c>
      <x:c r="J352" s="88" t="str">
        <x:f>IF(C352="","",F352+G352+H352)</x:f>
      </x:c>
      <x:c r="K352" s="88" t="str">
        <x:f>IF(C352="","",MAX(0,SUMIFS(SONDERZAHLUNGEN!$E$9:$E$128,SONDERZAHLUNGEN!$B$9:$B$128,C352,SONDERZAHLUNGEN!$C$9:$C$128,A352,SONDERZAHLUNGEN!$H$9:$H$128,"OK",SONDERZAHLUNGEN!$F$9:$F$128,"Ja")-G352))</x:f>
      </x:c>
    </x:row>
    <x:row r="353" ht="19" customHeight="1">
      <x:c r="A353" s="90" t="n">
        <x:f>MONATSBUDGET!$A$24</x:f>
        <x:v>46722</x:v>
      </x:c>
      <x:c r="B353" t="n">
        <x:f>14</x:f>
        <x:v>14</x:v>
      </x:c>
      <x:c r="C353" t="str">
        <x:f>IF($N$22="","",$N$22)</x:f>
      </x:c>
      <x:c r="D353" s="88" t="str">
        <x:f>IF(C353="","",I333)</x:f>
      </x:c>
      <x:c r="E353" s="88" t="str">
        <x:f>IF(C353="","",ROUND(D353*$P$22/12,2))</x:f>
      </x:c>
      <x:c r="F353" s="88" t="str">
        <x:f>IF(C353="","",MIN(D353+E353,$Q$22))</x:f>
      </x:c>
      <x:c r="G353" s="88" t="str">
        <x:f>IF(C353="","",MIN(MAX(0,D353+E353-F353),SUMIFS(SONDERZAHLUNGEN!$E$9:$E$128,SONDERZAHLUNGEN!$B$9:$B$128,C353,SONDERZAHLUNGEN!$C$9:$C$128,A353,SONDERZAHLUNGEN!$H$9:$H$128,"OK",SONDERZAHLUNGEN!$F$9:$F$128,"Ja")))</x:f>
      </x:c>
      <x:c r="H353" s="88" t="str">
        <x:f>IF(C353="","",MIN(MAX(0,D353+E353-F353-G353),MAX(0,IF(MONATSBUDGET!$C$24="",0,MONATSBUDGET!$C$24)-SUM(F340:F359)-SUM(H340:H352))))</x:f>
      </x:c>
      <x:c r="I353" s="88" t="str">
        <x:f>IF(C353="","",MAX(0,ROUND(D353+E353-F353-G353-H353,2)))</x:f>
      </x:c>
      <x:c r="J353" s="88" t="str">
        <x:f>IF(C353="","",F353+G353+H353)</x:f>
      </x:c>
      <x:c r="K353" s="88" t="str">
        <x:f>IF(C353="","",MAX(0,SUMIFS(SONDERZAHLUNGEN!$E$9:$E$128,SONDERZAHLUNGEN!$B$9:$B$128,C353,SONDERZAHLUNGEN!$C$9:$C$128,A353,SONDERZAHLUNGEN!$H$9:$H$128,"OK",SONDERZAHLUNGEN!$F$9:$F$128,"Ja")-G353))</x:f>
      </x:c>
    </x:row>
    <x:row r="354" ht="19" customHeight="1">
      <x:c r="A354" s="90" t="n">
        <x:f>MONATSBUDGET!$A$24</x:f>
        <x:v>46722</x:v>
      </x:c>
      <x:c r="B354" t="n">
        <x:f>15</x:f>
        <x:v>15</x:v>
      </x:c>
      <x:c r="C354" t="str">
        <x:f>IF($N$23="","",$N$23)</x:f>
      </x:c>
      <x:c r="D354" s="88" t="str">
        <x:f>IF(C354="","",I334)</x:f>
      </x:c>
      <x:c r="E354" s="88" t="str">
        <x:f>IF(C354="","",ROUND(D354*$P$23/12,2))</x:f>
      </x:c>
      <x:c r="F354" s="88" t="str">
        <x:f>IF(C354="","",MIN(D354+E354,$Q$23))</x:f>
      </x:c>
      <x:c r="G354" s="88" t="str">
        <x:f>IF(C354="","",MIN(MAX(0,D354+E354-F354),SUMIFS(SONDERZAHLUNGEN!$E$9:$E$128,SONDERZAHLUNGEN!$B$9:$B$128,C354,SONDERZAHLUNGEN!$C$9:$C$128,A354,SONDERZAHLUNGEN!$H$9:$H$128,"OK",SONDERZAHLUNGEN!$F$9:$F$128,"Ja")))</x:f>
      </x:c>
      <x:c r="H354" s="88" t="str">
        <x:f>IF(C354="","",MIN(MAX(0,D354+E354-F354-G354),MAX(0,IF(MONATSBUDGET!$C$24="",0,MONATSBUDGET!$C$24)-SUM(F340:F359)-SUM(H340:H353))))</x:f>
      </x:c>
      <x:c r="I354" s="88" t="str">
        <x:f>IF(C354="","",MAX(0,ROUND(D354+E354-F354-G354-H354,2)))</x:f>
      </x:c>
      <x:c r="J354" s="88" t="str">
        <x:f>IF(C354="","",F354+G354+H354)</x:f>
      </x:c>
      <x:c r="K354" s="88" t="str">
        <x:f>IF(C354="","",MAX(0,SUMIFS(SONDERZAHLUNGEN!$E$9:$E$128,SONDERZAHLUNGEN!$B$9:$B$128,C354,SONDERZAHLUNGEN!$C$9:$C$128,A354,SONDERZAHLUNGEN!$H$9:$H$128,"OK",SONDERZAHLUNGEN!$F$9:$F$128,"Ja")-G354))</x:f>
      </x:c>
    </x:row>
    <x:row r="355" ht="19" customHeight="1">
      <x:c r="A355" s="90" t="n">
        <x:f>MONATSBUDGET!$A$24</x:f>
        <x:v>46722</x:v>
      </x:c>
      <x:c r="B355" t="n">
        <x:f>16</x:f>
        <x:v>16</x:v>
      </x:c>
      <x:c r="C355" t="str">
        <x:f>IF($N$24="","",$N$24)</x:f>
      </x:c>
      <x:c r="D355" s="88" t="str">
        <x:f>IF(C355="","",I335)</x:f>
      </x:c>
      <x:c r="E355" s="88" t="str">
        <x:f>IF(C355="","",ROUND(D355*$P$24/12,2))</x:f>
      </x:c>
      <x:c r="F355" s="88" t="str">
        <x:f>IF(C355="","",MIN(D355+E355,$Q$24))</x:f>
      </x:c>
      <x:c r="G355" s="88" t="str">
        <x:f>IF(C355="","",MIN(MAX(0,D355+E355-F355),SUMIFS(SONDERZAHLUNGEN!$E$9:$E$128,SONDERZAHLUNGEN!$B$9:$B$128,C355,SONDERZAHLUNGEN!$C$9:$C$128,A355,SONDERZAHLUNGEN!$H$9:$H$128,"OK",SONDERZAHLUNGEN!$F$9:$F$128,"Ja")))</x:f>
      </x:c>
      <x:c r="H355" s="88" t="str">
        <x:f>IF(C355="","",MIN(MAX(0,D355+E355-F355-G355),MAX(0,IF(MONATSBUDGET!$C$24="",0,MONATSBUDGET!$C$24)-SUM(F340:F359)-SUM(H340:H354))))</x:f>
      </x:c>
      <x:c r="I355" s="88" t="str">
        <x:f>IF(C355="","",MAX(0,ROUND(D355+E355-F355-G355-H355,2)))</x:f>
      </x:c>
      <x:c r="J355" s="88" t="str">
        <x:f>IF(C355="","",F355+G355+H355)</x:f>
      </x:c>
      <x:c r="K355" s="88" t="str">
        <x:f>IF(C355="","",MAX(0,SUMIFS(SONDERZAHLUNGEN!$E$9:$E$128,SONDERZAHLUNGEN!$B$9:$B$128,C355,SONDERZAHLUNGEN!$C$9:$C$128,A355,SONDERZAHLUNGEN!$H$9:$H$128,"OK",SONDERZAHLUNGEN!$F$9:$F$128,"Ja")-G355))</x:f>
      </x:c>
    </x:row>
    <x:row r="356" ht="19" customHeight="1">
      <x:c r="A356" s="90" t="n">
        <x:f>MONATSBUDGET!$A$24</x:f>
        <x:v>46722</x:v>
      </x:c>
      <x:c r="B356" t="n">
        <x:f>17</x:f>
        <x:v>17</x:v>
      </x:c>
      <x:c r="C356" t="str">
        <x:f>IF($N$25="","",$N$25)</x:f>
      </x:c>
      <x:c r="D356" s="88" t="str">
        <x:f>IF(C356="","",I336)</x:f>
      </x:c>
      <x:c r="E356" s="88" t="str">
        <x:f>IF(C356="","",ROUND(D356*$P$25/12,2))</x:f>
      </x:c>
      <x:c r="F356" s="88" t="str">
        <x:f>IF(C356="","",MIN(D356+E356,$Q$25))</x:f>
      </x:c>
      <x:c r="G356" s="88" t="str">
        <x:f>IF(C356="","",MIN(MAX(0,D356+E356-F356),SUMIFS(SONDERZAHLUNGEN!$E$9:$E$128,SONDERZAHLUNGEN!$B$9:$B$128,C356,SONDERZAHLUNGEN!$C$9:$C$128,A356,SONDERZAHLUNGEN!$H$9:$H$128,"OK",SONDERZAHLUNGEN!$F$9:$F$128,"Ja")))</x:f>
      </x:c>
      <x:c r="H356" s="88" t="str">
        <x:f>IF(C356="","",MIN(MAX(0,D356+E356-F356-G356),MAX(0,IF(MONATSBUDGET!$C$24="",0,MONATSBUDGET!$C$24)-SUM(F340:F359)-SUM(H340:H355))))</x:f>
      </x:c>
      <x:c r="I356" s="88" t="str">
        <x:f>IF(C356="","",MAX(0,ROUND(D356+E356-F356-G356-H356,2)))</x:f>
      </x:c>
      <x:c r="J356" s="88" t="str">
        <x:f>IF(C356="","",F356+G356+H356)</x:f>
      </x:c>
      <x:c r="K356" s="88" t="str">
        <x:f>IF(C356="","",MAX(0,SUMIFS(SONDERZAHLUNGEN!$E$9:$E$128,SONDERZAHLUNGEN!$B$9:$B$128,C356,SONDERZAHLUNGEN!$C$9:$C$128,A356,SONDERZAHLUNGEN!$H$9:$H$128,"OK",SONDERZAHLUNGEN!$F$9:$F$128,"Ja")-G356))</x:f>
      </x:c>
    </x:row>
    <x:row r="357" ht="19" customHeight="1">
      <x:c r="A357" s="90" t="n">
        <x:f>MONATSBUDGET!$A$24</x:f>
        <x:v>46722</x:v>
      </x:c>
      <x:c r="B357" t="n">
        <x:f>18</x:f>
        <x:v>18</x:v>
      </x:c>
      <x:c r="C357" t="str">
        <x:f>IF($N$26="","",$N$26)</x:f>
      </x:c>
      <x:c r="D357" s="88" t="str">
        <x:f>IF(C357="","",I337)</x:f>
      </x:c>
      <x:c r="E357" s="88" t="str">
        <x:f>IF(C357="","",ROUND(D357*$P$26/12,2))</x:f>
      </x:c>
      <x:c r="F357" s="88" t="str">
        <x:f>IF(C357="","",MIN(D357+E357,$Q$26))</x:f>
      </x:c>
      <x:c r="G357" s="88" t="str">
        <x:f>IF(C357="","",MIN(MAX(0,D357+E357-F357),SUMIFS(SONDERZAHLUNGEN!$E$9:$E$128,SONDERZAHLUNGEN!$B$9:$B$128,C357,SONDERZAHLUNGEN!$C$9:$C$128,A357,SONDERZAHLUNGEN!$H$9:$H$128,"OK",SONDERZAHLUNGEN!$F$9:$F$128,"Ja")))</x:f>
      </x:c>
      <x:c r="H357" s="88" t="str">
        <x:f>IF(C357="","",MIN(MAX(0,D357+E357-F357-G357),MAX(0,IF(MONATSBUDGET!$C$24="",0,MONATSBUDGET!$C$24)-SUM(F340:F359)-SUM(H340:H356))))</x:f>
      </x:c>
      <x:c r="I357" s="88" t="str">
        <x:f>IF(C357="","",MAX(0,ROUND(D357+E357-F357-G357-H357,2)))</x:f>
      </x:c>
      <x:c r="J357" s="88" t="str">
        <x:f>IF(C357="","",F357+G357+H357)</x:f>
      </x:c>
      <x:c r="K357" s="88" t="str">
        <x:f>IF(C357="","",MAX(0,SUMIFS(SONDERZAHLUNGEN!$E$9:$E$128,SONDERZAHLUNGEN!$B$9:$B$128,C357,SONDERZAHLUNGEN!$C$9:$C$128,A357,SONDERZAHLUNGEN!$H$9:$H$128,"OK",SONDERZAHLUNGEN!$F$9:$F$128,"Ja")-G357))</x:f>
      </x:c>
    </x:row>
    <x:row r="358" ht="19" customHeight="1">
      <x:c r="A358" s="90" t="n">
        <x:f>MONATSBUDGET!$A$24</x:f>
        <x:v>46722</x:v>
      </x:c>
      <x:c r="B358" t="n">
        <x:f>19</x:f>
        <x:v>19</x:v>
      </x:c>
      <x:c r="C358" t="str">
        <x:f>IF($N$27="","",$N$27)</x:f>
      </x:c>
      <x:c r="D358" s="88" t="str">
        <x:f>IF(C358="","",I338)</x:f>
      </x:c>
      <x:c r="E358" s="88" t="str">
        <x:f>IF(C358="","",ROUND(D358*$P$27/12,2))</x:f>
      </x:c>
      <x:c r="F358" s="88" t="str">
        <x:f>IF(C358="","",MIN(D358+E358,$Q$27))</x:f>
      </x:c>
      <x:c r="G358" s="88" t="str">
        <x:f>IF(C358="","",MIN(MAX(0,D358+E358-F358),SUMIFS(SONDERZAHLUNGEN!$E$9:$E$128,SONDERZAHLUNGEN!$B$9:$B$128,C358,SONDERZAHLUNGEN!$C$9:$C$128,A358,SONDERZAHLUNGEN!$H$9:$H$128,"OK",SONDERZAHLUNGEN!$F$9:$F$128,"Ja")))</x:f>
      </x:c>
      <x:c r="H358" s="88" t="str">
        <x:f>IF(C358="","",MIN(MAX(0,D358+E358-F358-G358),MAX(0,IF(MONATSBUDGET!$C$24="",0,MONATSBUDGET!$C$24)-SUM(F340:F359)-SUM(H340:H357))))</x:f>
      </x:c>
      <x:c r="I358" s="88" t="str">
        <x:f>IF(C358="","",MAX(0,ROUND(D358+E358-F358-G358-H358,2)))</x:f>
      </x:c>
      <x:c r="J358" s="88" t="str">
        <x:f>IF(C358="","",F358+G358+H358)</x:f>
      </x:c>
      <x:c r="K358" s="88" t="str">
        <x:f>IF(C358="","",MAX(0,SUMIFS(SONDERZAHLUNGEN!$E$9:$E$128,SONDERZAHLUNGEN!$B$9:$B$128,C358,SONDERZAHLUNGEN!$C$9:$C$128,A358,SONDERZAHLUNGEN!$H$9:$H$128,"OK",SONDERZAHLUNGEN!$F$9:$F$128,"Ja")-G358))</x:f>
      </x:c>
    </x:row>
    <x:row r="359" ht="19" customHeight="1">
      <x:c r="A359" s="90" t="n">
        <x:f>MONATSBUDGET!$A$24</x:f>
        <x:v>46722</x:v>
      </x:c>
      <x:c r="B359" t="n">
        <x:f>20</x:f>
        <x:v>20</x:v>
      </x:c>
      <x:c r="C359" t="str">
        <x:f>IF($N$28="","",$N$28)</x:f>
      </x:c>
      <x:c r="D359" s="88" t="str">
        <x:f>IF(C359="","",I339)</x:f>
      </x:c>
      <x:c r="E359" s="88" t="str">
        <x:f>IF(C359="","",ROUND(D359*$P$28/12,2))</x:f>
      </x:c>
      <x:c r="F359" s="88" t="str">
        <x:f>IF(C359="","",MIN(D359+E359,$Q$28))</x:f>
      </x:c>
      <x:c r="G359" s="88" t="str">
        <x:f>IF(C359="","",MIN(MAX(0,D359+E359-F359),SUMIFS(SONDERZAHLUNGEN!$E$9:$E$128,SONDERZAHLUNGEN!$B$9:$B$128,C359,SONDERZAHLUNGEN!$C$9:$C$128,A359,SONDERZAHLUNGEN!$H$9:$H$128,"OK",SONDERZAHLUNGEN!$F$9:$F$128,"Ja")))</x:f>
      </x:c>
      <x:c r="H359" s="88" t="str">
        <x:f>IF(C359="","",MIN(MAX(0,D359+E359-F359-G359),MAX(0,IF(MONATSBUDGET!$C$24="",0,MONATSBUDGET!$C$24)-SUM(F340:F359)-SUM(H340:H358))))</x:f>
      </x:c>
      <x:c r="I359" s="88" t="str">
        <x:f>IF(C359="","",MAX(0,ROUND(D359+E359-F359-G359-H359,2)))</x:f>
      </x:c>
      <x:c r="J359" s="88" t="str">
        <x:f>IF(C359="","",F359+G359+H359)</x:f>
      </x:c>
      <x:c r="K359" s="88" t="str">
        <x:f>IF(C359="","",MAX(0,SUMIFS(SONDERZAHLUNGEN!$E$9:$E$128,SONDERZAHLUNGEN!$B$9:$B$128,C359,SONDERZAHLUNGEN!$C$9:$C$128,A359,SONDERZAHLUNGEN!$H$9:$H$128,"OK",SONDERZAHLUNGEN!$F$9:$F$128,"Ja")-G359))</x:f>
      </x:c>
    </x:row>
    <x:row r="360" ht="19" customHeight="1">
      <x:c r="A360" s="90" t="n">
        <x:f>MONATSBUDGET!$A$25</x:f>
        <x:v>46753</x:v>
      </x:c>
      <x:c r="B360" t="n">
        <x:f>1</x:f>
        <x:v>1</x:v>
      </x:c>
      <x:c r="C360" t="str">
        <x:f>IF($N$9="","",$N$9)</x:f>
      </x:c>
      <x:c r="D360" s="88" t="str">
        <x:f>IF(C360="","",I340)</x:f>
      </x:c>
      <x:c r="E360" s="88" t="str">
        <x:f>IF(C360="","",ROUND(D360*$P$9/12,2))</x:f>
      </x:c>
      <x:c r="F360" s="88" t="str">
        <x:f>IF(C360="","",MIN(D360+E360,$Q$9))</x:f>
      </x:c>
      <x:c r="G360" s="88" t="str">
        <x:f>IF(C360="","",MIN(MAX(0,D360+E360-F360),SUMIFS(SONDERZAHLUNGEN!$E$9:$E$128,SONDERZAHLUNGEN!$B$9:$B$128,C360,SONDERZAHLUNGEN!$C$9:$C$128,A360,SONDERZAHLUNGEN!$H$9:$H$128,"OK",SONDERZAHLUNGEN!$F$9:$F$128,"Ja")))</x:f>
      </x:c>
      <x:c r="H360" s="88" t="str">
        <x:f>IF(C360="","",MIN(MAX(0,D360+E360-F360-G360),MAX(0,IF(MONATSBUDGET!$C$25="",0,MONATSBUDGET!$C$25)-SUM(F360:F379)-0)))</x:f>
      </x:c>
      <x:c r="I360" s="88" t="str">
        <x:f>IF(C360="","",MAX(0,ROUND(D360+E360-F360-G360-H360,2)))</x:f>
      </x:c>
      <x:c r="J360" s="88" t="str">
        <x:f>IF(C360="","",F360+G360+H360)</x:f>
      </x:c>
      <x:c r="K360" s="88" t="str">
        <x:f>IF(C360="","",MAX(0,SUMIFS(SONDERZAHLUNGEN!$E$9:$E$128,SONDERZAHLUNGEN!$B$9:$B$128,C360,SONDERZAHLUNGEN!$C$9:$C$128,A360,SONDERZAHLUNGEN!$H$9:$H$128,"OK",SONDERZAHLUNGEN!$F$9:$F$128,"Ja")-G360))</x:f>
      </x:c>
    </x:row>
    <x:row r="361" ht="19" customHeight="1">
      <x:c r="A361" s="90" t="n">
        <x:f>MONATSBUDGET!$A$25</x:f>
        <x:v>46753</x:v>
      </x:c>
      <x:c r="B361" t="n">
        <x:f>2</x:f>
        <x:v>2</x:v>
      </x:c>
      <x:c r="C361" t="str">
        <x:f>IF($N$10="","",$N$10)</x:f>
      </x:c>
      <x:c r="D361" s="88" t="str">
        <x:f>IF(C361="","",I341)</x:f>
      </x:c>
      <x:c r="E361" s="88" t="str">
        <x:f>IF(C361="","",ROUND(D361*$P$10/12,2))</x:f>
      </x:c>
      <x:c r="F361" s="88" t="str">
        <x:f>IF(C361="","",MIN(D361+E361,$Q$10))</x:f>
      </x:c>
      <x:c r="G361" s="88" t="str">
        <x:f>IF(C361="","",MIN(MAX(0,D361+E361-F361),SUMIFS(SONDERZAHLUNGEN!$E$9:$E$128,SONDERZAHLUNGEN!$B$9:$B$128,C361,SONDERZAHLUNGEN!$C$9:$C$128,A361,SONDERZAHLUNGEN!$H$9:$H$128,"OK",SONDERZAHLUNGEN!$F$9:$F$128,"Ja")))</x:f>
      </x:c>
      <x:c r="H361" s="88" t="str">
        <x:f>IF(C361="","",MIN(MAX(0,D361+E361-F361-G361),MAX(0,IF(MONATSBUDGET!$C$25="",0,MONATSBUDGET!$C$25)-SUM(F360:F379)-SUM(H360:H360))))</x:f>
      </x:c>
      <x:c r="I361" s="88" t="str">
        <x:f>IF(C361="","",MAX(0,ROUND(D361+E361-F361-G361-H361,2)))</x:f>
      </x:c>
      <x:c r="J361" s="88" t="str">
        <x:f>IF(C361="","",F361+G361+H361)</x:f>
      </x:c>
      <x:c r="K361" s="88" t="str">
        <x:f>IF(C361="","",MAX(0,SUMIFS(SONDERZAHLUNGEN!$E$9:$E$128,SONDERZAHLUNGEN!$B$9:$B$128,C361,SONDERZAHLUNGEN!$C$9:$C$128,A361,SONDERZAHLUNGEN!$H$9:$H$128,"OK",SONDERZAHLUNGEN!$F$9:$F$128,"Ja")-G361))</x:f>
      </x:c>
    </x:row>
    <x:row r="362" ht="19" customHeight="1">
      <x:c r="A362" s="90" t="n">
        <x:f>MONATSBUDGET!$A$25</x:f>
        <x:v>46753</x:v>
      </x:c>
      <x:c r="B362" t="n">
        <x:f>3</x:f>
        <x:v>3</x:v>
      </x:c>
      <x:c r="C362" t="str">
        <x:f>IF($N$11="","",$N$11)</x:f>
      </x:c>
      <x:c r="D362" s="88" t="str">
        <x:f>IF(C362="","",I342)</x:f>
      </x:c>
      <x:c r="E362" s="88" t="str">
        <x:f>IF(C362="","",ROUND(D362*$P$11/12,2))</x:f>
      </x:c>
      <x:c r="F362" s="88" t="str">
        <x:f>IF(C362="","",MIN(D362+E362,$Q$11))</x:f>
      </x:c>
      <x:c r="G362" s="88" t="str">
        <x:f>IF(C362="","",MIN(MAX(0,D362+E362-F362),SUMIFS(SONDERZAHLUNGEN!$E$9:$E$128,SONDERZAHLUNGEN!$B$9:$B$128,C362,SONDERZAHLUNGEN!$C$9:$C$128,A362,SONDERZAHLUNGEN!$H$9:$H$128,"OK",SONDERZAHLUNGEN!$F$9:$F$128,"Ja")))</x:f>
      </x:c>
      <x:c r="H362" s="88" t="str">
        <x:f>IF(C362="","",MIN(MAX(0,D362+E362-F362-G362),MAX(0,IF(MONATSBUDGET!$C$25="",0,MONATSBUDGET!$C$25)-SUM(F360:F379)-SUM(H360:H361))))</x:f>
      </x:c>
      <x:c r="I362" s="88" t="str">
        <x:f>IF(C362="","",MAX(0,ROUND(D362+E362-F362-G362-H362,2)))</x:f>
      </x:c>
      <x:c r="J362" s="88" t="str">
        <x:f>IF(C362="","",F362+G362+H362)</x:f>
      </x:c>
      <x:c r="K362" s="88" t="str">
        <x:f>IF(C362="","",MAX(0,SUMIFS(SONDERZAHLUNGEN!$E$9:$E$128,SONDERZAHLUNGEN!$B$9:$B$128,C362,SONDERZAHLUNGEN!$C$9:$C$128,A362,SONDERZAHLUNGEN!$H$9:$H$128,"OK",SONDERZAHLUNGEN!$F$9:$F$128,"Ja")-G362))</x:f>
      </x:c>
    </x:row>
    <x:row r="363" ht="19" customHeight="1">
      <x:c r="A363" s="90" t="n">
        <x:f>MONATSBUDGET!$A$25</x:f>
        <x:v>46753</x:v>
      </x:c>
      <x:c r="B363" t="n">
        <x:f>4</x:f>
        <x:v>4</x:v>
      </x:c>
      <x:c r="C363" t="str">
        <x:f>IF($N$12="","",$N$12)</x:f>
      </x:c>
      <x:c r="D363" s="88" t="str">
        <x:f>IF(C363="","",I343)</x:f>
      </x:c>
      <x:c r="E363" s="88" t="str">
        <x:f>IF(C363="","",ROUND(D363*$P$12/12,2))</x:f>
      </x:c>
      <x:c r="F363" s="88" t="str">
        <x:f>IF(C363="","",MIN(D363+E363,$Q$12))</x:f>
      </x:c>
      <x:c r="G363" s="88" t="str">
        <x:f>IF(C363="","",MIN(MAX(0,D363+E363-F363),SUMIFS(SONDERZAHLUNGEN!$E$9:$E$128,SONDERZAHLUNGEN!$B$9:$B$128,C363,SONDERZAHLUNGEN!$C$9:$C$128,A363,SONDERZAHLUNGEN!$H$9:$H$128,"OK",SONDERZAHLUNGEN!$F$9:$F$128,"Ja")))</x:f>
      </x:c>
      <x:c r="H363" s="88" t="str">
        <x:f>IF(C363="","",MIN(MAX(0,D363+E363-F363-G363),MAX(0,IF(MONATSBUDGET!$C$25="",0,MONATSBUDGET!$C$25)-SUM(F360:F379)-SUM(H360:H362))))</x:f>
      </x:c>
      <x:c r="I363" s="88" t="str">
        <x:f>IF(C363="","",MAX(0,ROUND(D363+E363-F363-G363-H363,2)))</x:f>
      </x:c>
      <x:c r="J363" s="88" t="str">
        <x:f>IF(C363="","",F363+G363+H363)</x:f>
      </x:c>
      <x:c r="K363" s="88" t="str">
        <x:f>IF(C363="","",MAX(0,SUMIFS(SONDERZAHLUNGEN!$E$9:$E$128,SONDERZAHLUNGEN!$B$9:$B$128,C363,SONDERZAHLUNGEN!$C$9:$C$128,A363,SONDERZAHLUNGEN!$H$9:$H$128,"OK",SONDERZAHLUNGEN!$F$9:$F$128,"Ja")-G363))</x:f>
      </x:c>
    </x:row>
    <x:row r="364" ht="19" customHeight="1">
      <x:c r="A364" s="90" t="n">
        <x:f>MONATSBUDGET!$A$25</x:f>
        <x:v>46753</x:v>
      </x:c>
      <x:c r="B364" t="n">
        <x:f>5</x:f>
        <x:v>5</x:v>
      </x:c>
      <x:c r="C364" t="str">
        <x:f>IF($N$13="","",$N$13)</x:f>
      </x:c>
      <x:c r="D364" s="88" t="str">
        <x:f>IF(C364="","",I344)</x:f>
      </x:c>
      <x:c r="E364" s="88" t="str">
        <x:f>IF(C364="","",ROUND(D364*$P$13/12,2))</x:f>
      </x:c>
      <x:c r="F364" s="88" t="str">
        <x:f>IF(C364="","",MIN(D364+E364,$Q$13))</x:f>
      </x:c>
      <x:c r="G364" s="88" t="str">
        <x:f>IF(C364="","",MIN(MAX(0,D364+E364-F364),SUMIFS(SONDERZAHLUNGEN!$E$9:$E$128,SONDERZAHLUNGEN!$B$9:$B$128,C364,SONDERZAHLUNGEN!$C$9:$C$128,A364,SONDERZAHLUNGEN!$H$9:$H$128,"OK",SONDERZAHLUNGEN!$F$9:$F$128,"Ja")))</x:f>
      </x:c>
      <x:c r="H364" s="88" t="str">
        <x:f>IF(C364="","",MIN(MAX(0,D364+E364-F364-G364),MAX(0,IF(MONATSBUDGET!$C$25="",0,MONATSBUDGET!$C$25)-SUM(F360:F379)-SUM(H360:H363))))</x:f>
      </x:c>
      <x:c r="I364" s="88" t="str">
        <x:f>IF(C364="","",MAX(0,ROUND(D364+E364-F364-G364-H364,2)))</x:f>
      </x:c>
      <x:c r="J364" s="88" t="str">
        <x:f>IF(C364="","",F364+G364+H364)</x:f>
      </x:c>
      <x:c r="K364" s="88" t="str">
        <x:f>IF(C364="","",MAX(0,SUMIFS(SONDERZAHLUNGEN!$E$9:$E$128,SONDERZAHLUNGEN!$B$9:$B$128,C364,SONDERZAHLUNGEN!$C$9:$C$128,A364,SONDERZAHLUNGEN!$H$9:$H$128,"OK",SONDERZAHLUNGEN!$F$9:$F$128,"Ja")-G364))</x:f>
      </x:c>
    </x:row>
    <x:row r="365" ht="19" customHeight="1">
      <x:c r="A365" s="90" t="n">
        <x:f>MONATSBUDGET!$A$25</x:f>
        <x:v>46753</x:v>
      </x:c>
      <x:c r="B365" t="n">
        <x:f>6</x:f>
        <x:v>6</x:v>
      </x:c>
      <x:c r="C365" t="str">
        <x:f>IF($N$14="","",$N$14)</x:f>
      </x:c>
      <x:c r="D365" s="88" t="str">
        <x:f>IF(C365="","",I345)</x:f>
      </x:c>
      <x:c r="E365" s="88" t="str">
        <x:f>IF(C365="","",ROUND(D365*$P$14/12,2))</x:f>
      </x:c>
      <x:c r="F365" s="88" t="str">
        <x:f>IF(C365="","",MIN(D365+E365,$Q$14))</x:f>
      </x:c>
      <x:c r="G365" s="88" t="str">
        <x:f>IF(C365="","",MIN(MAX(0,D365+E365-F365),SUMIFS(SONDERZAHLUNGEN!$E$9:$E$128,SONDERZAHLUNGEN!$B$9:$B$128,C365,SONDERZAHLUNGEN!$C$9:$C$128,A365,SONDERZAHLUNGEN!$H$9:$H$128,"OK",SONDERZAHLUNGEN!$F$9:$F$128,"Ja")))</x:f>
      </x:c>
      <x:c r="H365" s="88" t="str">
        <x:f>IF(C365="","",MIN(MAX(0,D365+E365-F365-G365),MAX(0,IF(MONATSBUDGET!$C$25="",0,MONATSBUDGET!$C$25)-SUM(F360:F379)-SUM(H360:H364))))</x:f>
      </x:c>
      <x:c r="I365" s="88" t="str">
        <x:f>IF(C365="","",MAX(0,ROUND(D365+E365-F365-G365-H365,2)))</x:f>
      </x:c>
      <x:c r="J365" s="88" t="str">
        <x:f>IF(C365="","",F365+G365+H365)</x:f>
      </x:c>
      <x:c r="K365" s="88" t="str">
        <x:f>IF(C365="","",MAX(0,SUMIFS(SONDERZAHLUNGEN!$E$9:$E$128,SONDERZAHLUNGEN!$B$9:$B$128,C365,SONDERZAHLUNGEN!$C$9:$C$128,A365,SONDERZAHLUNGEN!$H$9:$H$128,"OK",SONDERZAHLUNGEN!$F$9:$F$128,"Ja")-G365))</x:f>
      </x:c>
    </x:row>
    <x:row r="366" ht="19" customHeight="1">
      <x:c r="A366" s="90" t="n">
        <x:f>MONATSBUDGET!$A$25</x:f>
        <x:v>46753</x:v>
      </x:c>
      <x:c r="B366" t="n">
        <x:f>7</x:f>
        <x:v>7</x:v>
      </x:c>
      <x:c r="C366" t="str">
        <x:f>IF($N$15="","",$N$15)</x:f>
      </x:c>
      <x:c r="D366" s="88" t="str">
        <x:f>IF(C366="","",I346)</x:f>
      </x:c>
      <x:c r="E366" s="88" t="str">
        <x:f>IF(C366="","",ROUND(D366*$P$15/12,2))</x:f>
      </x:c>
      <x:c r="F366" s="88" t="str">
        <x:f>IF(C366="","",MIN(D366+E366,$Q$15))</x:f>
      </x:c>
      <x:c r="G366" s="88" t="str">
        <x:f>IF(C366="","",MIN(MAX(0,D366+E366-F366),SUMIFS(SONDERZAHLUNGEN!$E$9:$E$128,SONDERZAHLUNGEN!$B$9:$B$128,C366,SONDERZAHLUNGEN!$C$9:$C$128,A366,SONDERZAHLUNGEN!$H$9:$H$128,"OK",SONDERZAHLUNGEN!$F$9:$F$128,"Ja")))</x:f>
      </x:c>
      <x:c r="H366" s="88" t="str">
        <x:f>IF(C366="","",MIN(MAX(0,D366+E366-F366-G366),MAX(0,IF(MONATSBUDGET!$C$25="",0,MONATSBUDGET!$C$25)-SUM(F360:F379)-SUM(H360:H365))))</x:f>
      </x:c>
      <x:c r="I366" s="88" t="str">
        <x:f>IF(C366="","",MAX(0,ROUND(D366+E366-F366-G366-H366,2)))</x:f>
      </x:c>
      <x:c r="J366" s="88" t="str">
        <x:f>IF(C366="","",F366+G366+H366)</x:f>
      </x:c>
      <x:c r="K366" s="88" t="str">
        <x:f>IF(C366="","",MAX(0,SUMIFS(SONDERZAHLUNGEN!$E$9:$E$128,SONDERZAHLUNGEN!$B$9:$B$128,C366,SONDERZAHLUNGEN!$C$9:$C$128,A366,SONDERZAHLUNGEN!$H$9:$H$128,"OK",SONDERZAHLUNGEN!$F$9:$F$128,"Ja")-G366))</x:f>
      </x:c>
    </x:row>
    <x:row r="367" ht="19" customHeight="1">
      <x:c r="A367" s="90" t="n">
        <x:f>MONATSBUDGET!$A$25</x:f>
        <x:v>46753</x:v>
      </x:c>
      <x:c r="B367" t="n">
        <x:f>8</x:f>
        <x:v>8</x:v>
      </x:c>
      <x:c r="C367" t="str">
        <x:f>IF($N$16="","",$N$16)</x:f>
      </x:c>
      <x:c r="D367" s="88" t="str">
        <x:f>IF(C367="","",I347)</x:f>
      </x:c>
      <x:c r="E367" s="88" t="str">
        <x:f>IF(C367="","",ROUND(D367*$P$16/12,2))</x:f>
      </x:c>
      <x:c r="F367" s="88" t="str">
        <x:f>IF(C367="","",MIN(D367+E367,$Q$16))</x:f>
      </x:c>
      <x:c r="G367" s="88" t="str">
        <x:f>IF(C367="","",MIN(MAX(0,D367+E367-F367),SUMIFS(SONDERZAHLUNGEN!$E$9:$E$128,SONDERZAHLUNGEN!$B$9:$B$128,C367,SONDERZAHLUNGEN!$C$9:$C$128,A367,SONDERZAHLUNGEN!$H$9:$H$128,"OK",SONDERZAHLUNGEN!$F$9:$F$128,"Ja")))</x:f>
      </x:c>
      <x:c r="H367" s="88" t="str">
        <x:f>IF(C367="","",MIN(MAX(0,D367+E367-F367-G367),MAX(0,IF(MONATSBUDGET!$C$25="",0,MONATSBUDGET!$C$25)-SUM(F360:F379)-SUM(H360:H366))))</x:f>
      </x:c>
      <x:c r="I367" s="88" t="str">
        <x:f>IF(C367="","",MAX(0,ROUND(D367+E367-F367-G367-H367,2)))</x:f>
      </x:c>
      <x:c r="J367" s="88" t="str">
        <x:f>IF(C367="","",F367+G367+H367)</x:f>
      </x:c>
      <x:c r="K367" s="88" t="str">
        <x:f>IF(C367="","",MAX(0,SUMIFS(SONDERZAHLUNGEN!$E$9:$E$128,SONDERZAHLUNGEN!$B$9:$B$128,C367,SONDERZAHLUNGEN!$C$9:$C$128,A367,SONDERZAHLUNGEN!$H$9:$H$128,"OK",SONDERZAHLUNGEN!$F$9:$F$128,"Ja")-G367))</x:f>
      </x:c>
    </x:row>
    <x:row r="368" ht="19" customHeight="1">
      <x:c r="A368" s="90" t="n">
        <x:f>MONATSBUDGET!$A$25</x:f>
        <x:v>46753</x:v>
      </x:c>
      <x:c r="B368" t="n">
        <x:f>9</x:f>
        <x:v>9</x:v>
      </x:c>
      <x:c r="C368" t="str">
        <x:f>IF($N$17="","",$N$17)</x:f>
      </x:c>
      <x:c r="D368" s="88" t="str">
        <x:f>IF(C368="","",I348)</x:f>
      </x:c>
      <x:c r="E368" s="88" t="str">
        <x:f>IF(C368="","",ROUND(D368*$P$17/12,2))</x:f>
      </x:c>
      <x:c r="F368" s="88" t="str">
        <x:f>IF(C368="","",MIN(D368+E368,$Q$17))</x:f>
      </x:c>
      <x:c r="G368" s="88" t="str">
        <x:f>IF(C368="","",MIN(MAX(0,D368+E368-F368),SUMIFS(SONDERZAHLUNGEN!$E$9:$E$128,SONDERZAHLUNGEN!$B$9:$B$128,C368,SONDERZAHLUNGEN!$C$9:$C$128,A368,SONDERZAHLUNGEN!$H$9:$H$128,"OK",SONDERZAHLUNGEN!$F$9:$F$128,"Ja")))</x:f>
      </x:c>
      <x:c r="H368" s="88" t="str">
        <x:f>IF(C368="","",MIN(MAX(0,D368+E368-F368-G368),MAX(0,IF(MONATSBUDGET!$C$25="",0,MONATSBUDGET!$C$25)-SUM(F360:F379)-SUM(H360:H367))))</x:f>
      </x:c>
      <x:c r="I368" s="88" t="str">
        <x:f>IF(C368="","",MAX(0,ROUND(D368+E368-F368-G368-H368,2)))</x:f>
      </x:c>
      <x:c r="J368" s="88" t="str">
        <x:f>IF(C368="","",F368+G368+H368)</x:f>
      </x:c>
      <x:c r="K368" s="88" t="str">
        <x:f>IF(C368="","",MAX(0,SUMIFS(SONDERZAHLUNGEN!$E$9:$E$128,SONDERZAHLUNGEN!$B$9:$B$128,C368,SONDERZAHLUNGEN!$C$9:$C$128,A368,SONDERZAHLUNGEN!$H$9:$H$128,"OK",SONDERZAHLUNGEN!$F$9:$F$128,"Ja")-G368))</x:f>
      </x:c>
    </x:row>
    <x:row r="369" ht="19" customHeight="1">
      <x:c r="A369" s="90" t="n">
        <x:f>MONATSBUDGET!$A$25</x:f>
        <x:v>46753</x:v>
      </x:c>
      <x:c r="B369" t="n">
        <x:f>10</x:f>
        <x:v>10</x:v>
      </x:c>
      <x:c r="C369" t="str">
        <x:f>IF($N$18="","",$N$18)</x:f>
      </x:c>
      <x:c r="D369" s="88" t="str">
        <x:f>IF(C369="","",I349)</x:f>
      </x:c>
      <x:c r="E369" s="88" t="str">
        <x:f>IF(C369="","",ROUND(D369*$P$18/12,2))</x:f>
      </x:c>
      <x:c r="F369" s="88" t="str">
        <x:f>IF(C369="","",MIN(D369+E369,$Q$18))</x:f>
      </x:c>
      <x:c r="G369" s="88" t="str">
        <x:f>IF(C369="","",MIN(MAX(0,D369+E369-F369),SUMIFS(SONDERZAHLUNGEN!$E$9:$E$128,SONDERZAHLUNGEN!$B$9:$B$128,C369,SONDERZAHLUNGEN!$C$9:$C$128,A369,SONDERZAHLUNGEN!$H$9:$H$128,"OK",SONDERZAHLUNGEN!$F$9:$F$128,"Ja")))</x:f>
      </x:c>
      <x:c r="H369" s="88" t="str">
        <x:f>IF(C369="","",MIN(MAX(0,D369+E369-F369-G369),MAX(0,IF(MONATSBUDGET!$C$25="",0,MONATSBUDGET!$C$25)-SUM(F360:F379)-SUM(H360:H368))))</x:f>
      </x:c>
      <x:c r="I369" s="88" t="str">
        <x:f>IF(C369="","",MAX(0,ROUND(D369+E369-F369-G369-H369,2)))</x:f>
      </x:c>
      <x:c r="J369" s="88" t="str">
        <x:f>IF(C369="","",F369+G369+H369)</x:f>
      </x:c>
      <x:c r="K369" s="88" t="str">
        <x:f>IF(C369="","",MAX(0,SUMIFS(SONDERZAHLUNGEN!$E$9:$E$128,SONDERZAHLUNGEN!$B$9:$B$128,C369,SONDERZAHLUNGEN!$C$9:$C$128,A369,SONDERZAHLUNGEN!$H$9:$H$128,"OK",SONDERZAHLUNGEN!$F$9:$F$128,"Ja")-G369))</x:f>
      </x:c>
    </x:row>
    <x:row r="370" ht="19" customHeight="1">
      <x:c r="A370" s="90" t="n">
        <x:f>MONATSBUDGET!$A$25</x:f>
        <x:v>46753</x:v>
      </x:c>
      <x:c r="B370" t="n">
        <x:f>11</x:f>
        <x:v>11</x:v>
      </x:c>
      <x:c r="C370" t="str">
        <x:f>IF($N$19="","",$N$19)</x:f>
      </x:c>
      <x:c r="D370" s="88" t="str">
        <x:f>IF(C370="","",I350)</x:f>
      </x:c>
      <x:c r="E370" s="88" t="str">
        <x:f>IF(C370="","",ROUND(D370*$P$19/12,2))</x:f>
      </x:c>
      <x:c r="F370" s="88" t="str">
        <x:f>IF(C370="","",MIN(D370+E370,$Q$19))</x:f>
      </x:c>
      <x:c r="G370" s="88" t="str">
        <x:f>IF(C370="","",MIN(MAX(0,D370+E370-F370),SUMIFS(SONDERZAHLUNGEN!$E$9:$E$128,SONDERZAHLUNGEN!$B$9:$B$128,C370,SONDERZAHLUNGEN!$C$9:$C$128,A370,SONDERZAHLUNGEN!$H$9:$H$128,"OK",SONDERZAHLUNGEN!$F$9:$F$128,"Ja")))</x:f>
      </x:c>
      <x:c r="H370" s="88" t="str">
        <x:f>IF(C370="","",MIN(MAX(0,D370+E370-F370-G370),MAX(0,IF(MONATSBUDGET!$C$25="",0,MONATSBUDGET!$C$25)-SUM(F360:F379)-SUM(H360:H369))))</x:f>
      </x:c>
      <x:c r="I370" s="88" t="str">
        <x:f>IF(C370="","",MAX(0,ROUND(D370+E370-F370-G370-H370,2)))</x:f>
      </x:c>
      <x:c r="J370" s="88" t="str">
        <x:f>IF(C370="","",F370+G370+H370)</x:f>
      </x:c>
      <x:c r="K370" s="88" t="str">
        <x:f>IF(C370="","",MAX(0,SUMIFS(SONDERZAHLUNGEN!$E$9:$E$128,SONDERZAHLUNGEN!$B$9:$B$128,C370,SONDERZAHLUNGEN!$C$9:$C$128,A370,SONDERZAHLUNGEN!$H$9:$H$128,"OK",SONDERZAHLUNGEN!$F$9:$F$128,"Ja")-G370))</x:f>
      </x:c>
    </x:row>
    <x:row r="371" ht="19" customHeight="1">
      <x:c r="A371" s="90" t="n">
        <x:f>MONATSBUDGET!$A$25</x:f>
        <x:v>46753</x:v>
      </x:c>
      <x:c r="B371" t="n">
        <x:f>12</x:f>
        <x:v>12</x:v>
      </x:c>
      <x:c r="C371" t="str">
        <x:f>IF($N$20="","",$N$20)</x:f>
      </x:c>
      <x:c r="D371" s="88" t="str">
        <x:f>IF(C371="","",I351)</x:f>
      </x:c>
      <x:c r="E371" s="88" t="str">
        <x:f>IF(C371="","",ROUND(D371*$P$20/12,2))</x:f>
      </x:c>
      <x:c r="F371" s="88" t="str">
        <x:f>IF(C371="","",MIN(D371+E371,$Q$20))</x:f>
      </x:c>
      <x:c r="G371" s="88" t="str">
        <x:f>IF(C371="","",MIN(MAX(0,D371+E371-F371),SUMIFS(SONDERZAHLUNGEN!$E$9:$E$128,SONDERZAHLUNGEN!$B$9:$B$128,C371,SONDERZAHLUNGEN!$C$9:$C$128,A371,SONDERZAHLUNGEN!$H$9:$H$128,"OK",SONDERZAHLUNGEN!$F$9:$F$128,"Ja")))</x:f>
      </x:c>
      <x:c r="H371" s="88" t="str">
        <x:f>IF(C371="","",MIN(MAX(0,D371+E371-F371-G371),MAX(0,IF(MONATSBUDGET!$C$25="",0,MONATSBUDGET!$C$25)-SUM(F360:F379)-SUM(H360:H370))))</x:f>
      </x:c>
      <x:c r="I371" s="88" t="str">
        <x:f>IF(C371="","",MAX(0,ROUND(D371+E371-F371-G371-H371,2)))</x:f>
      </x:c>
      <x:c r="J371" s="88" t="str">
        <x:f>IF(C371="","",F371+G371+H371)</x:f>
      </x:c>
      <x:c r="K371" s="88" t="str">
        <x:f>IF(C371="","",MAX(0,SUMIFS(SONDERZAHLUNGEN!$E$9:$E$128,SONDERZAHLUNGEN!$B$9:$B$128,C371,SONDERZAHLUNGEN!$C$9:$C$128,A371,SONDERZAHLUNGEN!$H$9:$H$128,"OK",SONDERZAHLUNGEN!$F$9:$F$128,"Ja")-G371))</x:f>
      </x:c>
    </x:row>
    <x:row r="372" ht="19" customHeight="1">
      <x:c r="A372" s="90" t="n">
        <x:f>MONATSBUDGET!$A$25</x:f>
        <x:v>46753</x:v>
      </x:c>
      <x:c r="B372" t="n">
        <x:f>13</x:f>
        <x:v>13</x:v>
      </x:c>
      <x:c r="C372" t="str">
        <x:f>IF($N$21="","",$N$21)</x:f>
      </x:c>
      <x:c r="D372" s="88" t="str">
        <x:f>IF(C372="","",I352)</x:f>
      </x:c>
      <x:c r="E372" s="88" t="str">
        <x:f>IF(C372="","",ROUND(D372*$P$21/12,2))</x:f>
      </x:c>
      <x:c r="F372" s="88" t="str">
        <x:f>IF(C372="","",MIN(D372+E372,$Q$21))</x:f>
      </x:c>
      <x:c r="G372" s="88" t="str">
        <x:f>IF(C372="","",MIN(MAX(0,D372+E372-F372),SUMIFS(SONDERZAHLUNGEN!$E$9:$E$128,SONDERZAHLUNGEN!$B$9:$B$128,C372,SONDERZAHLUNGEN!$C$9:$C$128,A372,SONDERZAHLUNGEN!$H$9:$H$128,"OK",SONDERZAHLUNGEN!$F$9:$F$128,"Ja")))</x:f>
      </x:c>
      <x:c r="H372" s="88" t="str">
        <x:f>IF(C372="","",MIN(MAX(0,D372+E372-F372-G372),MAX(0,IF(MONATSBUDGET!$C$25="",0,MONATSBUDGET!$C$25)-SUM(F360:F379)-SUM(H360:H371))))</x:f>
      </x:c>
      <x:c r="I372" s="88" t="str">
        <x:f>IF(C372="","",MAX(0,ROUND(D372+E372-F372-G372-H372,2)))</x:f>
      </x:c>
      <x:c r="J372" s="88" t="str">
        <x:f>IF(C372="","",F372+G372+H372)</x:f>
      </x:c>
      <x:c r="K372" s="88" t="str">
        <x:f>IF(C372="","",MAX(0,SUMIFS(SONDERZAHLUNGEN!$E$9:$E$128,SONDERZAHLUNGEN!$B$9:$B$128,C372,SONDERZAHLUNGEN!$C$9:$C$128,A372,SONDERZAHLUNGEN!$H$9:$H$128,"OK",SONDERZAHLUNGEN!$F$9:$F$128,"Ja")-G372))</x:f>
      </x:c>
    </x:row>
    <x:row r="373" ht="19" customHeight="1">
      <x:c r="A373" s="90" t="n">
        <x:f>MONATSBUDGET!$A$25</x:f>
        <x:v>46753</x:v>
      </x:c>
      <x:c r="B373" t="n">
        <x:f>14</x:f>
        <x:v>14</x:v>
      </x:c>
      <x:c r="C373" t="str">
        <x:f>IF($N$22="","",$N$22)</x:f>
      </x:c>
      <x:c r="D373" s="88" t="str">
        <x:f>IF(C373="","",I353)</x:f>
      </x:c>
      <x:c r="E373" s="88" t="str">
        <x:f>IF(C373="","",ROUND(D373*$P$22/12,2))</x:f>
      </x:c>
      <x:c r="F373" s="88" t="str">
        <x:f>IF(C373="","",MIN(D373+E373,$Q$22))</x:f>
      </x:c>
      <x:c r="G373" s="88" t="str">
        <x:f>IF(C373="","",MIN(MAX(0,D373+E373-F373),SUMIFS(SONDERZAHLUNGEN!$E$9:$E$128,SONDERZAHLUNGEN!$B$9:$B$128,C373,SONDERZAHLUNGEN!$C$9:$C$128,A373,SONDERZAHLUNGEN!$H$9:$H$128,"OK",SONDERZAHLUNGEN!$F$9:$F$128,"Ja")))</x:f>
      </x:c>
      <x:c r="H373" s="88" t="str">
        <x:f>IF(C373="","",MIN(MAX(0,D373+E373-F373-G373),MAX(0,IF(MONATSBUDGET!$C$25="",0,MONATSBUDGET!$C$25)-SUM(F360:F379)-SUM(H360:H372))))</x:f>
      </x:c>
      <x:c r="I373" s="88" t="str">
        <x:f>IF(C373="","",MAX(0,ROUND(D373+E373-F373-G373-H373,2)))</x:f>
      </x:c>
      <x:c r="J373" s="88" t="str">
        <x:f>IF(C373="","",F373+G373+H373)</x:f>
      </x:c>
      <x:c r="K373" s="88" t="str">
        <x:f>IF(C373="","",MAX(0,SUMIFS(SONDERZAHLUNGEN!$E$9:$E$128,SONDERZAHLUNGEN!$B$9:$B$128,C373,SONDERZAHLUNGEN!$C$9:$C$128,A373,SONDERZAHLUNGEN!$H$9:$H$128,"OK",SONDERZAHLUNGEN!$F$9:$F$128,"Ja")-G373))</x:f>
      </x:c>
    </x:row>
    <x:row r="374" ht="19" customHeight="1">
      <x:c r="A374" s="90" t="n">
        <x:f>MONATSBUDGET!$A$25</x:f>
        <x:v>46753</x:v>
      </x:c>
      <x:c r="B374" t="n">
        <x:f>15</x:f>
        <x:v>15</x:v>
      </x:c>
      <x:c r="C374" t="str">
        <x:f>IF($N$23="","",$N$23)</x:f>
      </x:c>
      <x:c r="D374" s="88" t="str">
        <x:f>IF(C374="","",I354)</x:f>
      </x:c>
      <x:c r="E374" s="88" t="str">
        <x:f>IF(C374="","",ROUND(D374*$P$23/12,2))</x:f>
      </x:c>
      <x:c r="F374" s="88" t="str">
        <x:f>IF(C374="","",MIN(D374+E374,$Q$23))</x:f>
      </x:c>
      <x:c r="G374" s="88" t="str">
        <x:f>IF(C374="","",MIN(MAX(0,D374+E374-F374),SUMIFS(SONDERZAHLUNGEN!$E$9:$E$128,SONDERZAHLUNGEN!$B$9:$B$128,C374,SONDERZAHLUNGEN!$C$9:$C$128,A374,SONDERZAHLUNGEN!$H$9:$H$128,"OK",SONDERZAHLUNGEN!$F$9:$F$128,"Ja")))</x:f>
      </x:c>
      <x:c r="H374" s="88" t="str">
        <x:f>IF(C374="","",MIN(MAX(0,D374+E374-F374-G374),MAX(0,IF(MONATSBUDGET!$C$25="",0,MONATSBUDGET!$C$25)-SUM(F360:F379)-SUM(H360:H373))))</x:f>
      </x:c>
      <x:c r="I374" s="88" t="str">
        <x:f>IF(C374="","",MAX(0,ROUND(D374+E374-F374-G374-H374,2)))</x:f>
      </x:c>
      <x:c r="J374" s="88" t="str">
        <x:f>IF(C374="","",F374+G374+H374)</x:f>
      </x:c>
      <x:c r="K374" s="88" t="str">
        <x:f>IF(C374="","",MAX(0,SUMIFS(SONDERZAHLUNGEN!$E$9:$E$128,SONDERZAHLUNGEN!$B$9:$B$128,C374,SONDERZAHLUNGEN!$C$9:$C$128,A374,SONDERZAHLUNGEN!$H$9:$H$128,"OK",SONDERZAHLUNGEN!$F$9:$F$128,"Ja")-G374))</x:f>
      </x:c>
    </x:row>
    <x:row r="375" ht="19" customHeight="1">
      <x:c r="A375" s="90" t="n">
        <x:f>MONATSBUDGET!$A$25</x:f>
        <x:v>46753</x:v>
      </x:c>
      <x:c r="B375" t="n">
        <x:f>16</x:f>
        <x:v>16</x:v>
      </x:c>
      <x:c r="C375" t="str">
        <x:f>IF($N$24="","",$N$24)</x:f>
      </x:c>
      <x:c r="D375" s="88" t="str">
        <x:f>IF(C375="","",I355)</x:f>
      </x:c>
      <x:c r="E375" s="88" t="str">
        <x:f>IF(C375="","",ROUND(D375*$P$24/12,2))</x:f>
      </x:c>
      <x:c r="F375" s="88" t="str">
        <x:f>IF(C375="","",MIN(D375+E375,$Q$24))</x:f>
      </x:c>
      <x:c r="G375" s="88" t="str">
        <x:f>IF(C375="","",MIN(MAX(0,D375+E375-F375),SUMIFS(SONDERZAHLUNGEN!$E$9:$E$128,SONDERZAHLUNGEN!$B$9:$B$128,C375,SONDERZAHLUNGEN!$C$9:$C$128,A375,SONDERZAHLUNGEN!$H$9:$H$128,"OK",SONDERZAHLUNGEN!$F$9:$F$128,"Ja")))</x:f>
      </x:c>
      <x:c r="H375" s="88" t="str">
        <x:f>IF(C375="","",MIN(MAX(0,D375+E375-F375-G375),MAX(0,IF(MONATSBUDGET!$C$25="",0,MONATSBUDGET!$C$25)-SUM(F360:F379)-SUM(H360:H374))))</x:f>
      </x:c>
      <x:c r="I375" s="88" t="str">
        <x:f>IF(C375="","",MAX(0,ROUND(D375+E375-F375-G375-H375,2)))</x:f>
      </x:c>
      <x:c r="J375" s="88" t="str">
        <x:f>IF(C375="","",F375+G375+H375)</x:f>
      </x:c>
      <x:c r="K375" s="88" t="str">
        <x:f>IF(C375="","",MAX(0,SUMIFS(SONDERZAHLUNGEN!$E$9:$E$128,SONDERZAHLUNGEN!$B$9:$B$128,C375,SONDERZAHLUNGEN!$C$9:$C$128,A375,SONDERZAHLUNGEN!$H$9:$H$128,"OK",SONDERZAHLUNGEN!$F$9:$F$128,"Ja")-G375))</x:f>
      </x:c>
    </x:row>
    <x:row r="376" ht="19" customHeight="1">
      <x:c r="A376" s="90" t="n">
        <x:f>MONATSBUDGET!$A$25</x:f>
        <x:v>46753</x:v>
      </x:c>
      <x:c r="B376" t="n">
        <x:f>17</x:f>
        <x:v>17</x:v>
      </x:c>
      <x:c r="C376" t="str">
        <x:f>IF($N$25="","",$N$25)</x:f>
      </x:c>
      <x:c r="D376" s="88" t="str">
        <x:f>IF(C376="","",I356)</x:f>
      </x:c>
      <x:c r="E376" s="88" t="str">
        <x:f>IF(C376="","",ROUND(D376*$P$25/12,2))</x:f>
      </x:c>
      <x:c r="F376" s="88" t="str">
        <x:f>IF(C376="","",MIN(D376+E376,$Q$25))</x:f>
      </x:c>
      <x:c r="G376" s="88" t="str">
        <x:f>IF(C376="","",MIN(MAX(0,D376+E376-F376),SUMIFS(SONDERZAHLUNGEN!$E$9:$E$128,SONDERZAHLUNGEN!$B$9:$B$128,C376,SONDERZAHLUNGEN!$C$9:$C$128,A376,SONDERZAHLUNGEN!$H$9:$H$128,"OK",SONDERZAHLUNGEN!$F$9:$F$128,"Ja")))</x:f>
      </x:c>
      <x:c r="H376" s="88" t="str">
        <x:f>IF(C376="","",MIN(MAX(0,D376+E376-F376-G376),MAX(0,IF(MONATSBUDGET!$C$25="",0,MONATSBUDGET!$C$25)-SUM(F360:F379)-SUM(H360:H375))))</x:f>
      </x:c>
      <x:c r="I376" s="88" t="str">
        <x:f>IF(C376="","",MAX(0,ROUND(D376+E376-F376-G376-H376,2)))</x:f>
      </x:c>
      <x:c r="J376" s="88" t="str">
        <x:f>IF(C376="","",F376+G376+H376)</x:f>
      </x:c>
      <x:c r="K376" s="88" t="str">
        <x:f>IF(C376="","",MAX(0,SUMIFS(SONDERZAHLUNGEN!$E$9:$E$128,SONDERZAHLUNGEN!$B$9:$B$128,C376,SONDERZAHLUNGEN!$C$9:$C$128,A376,SONDERZAHLUNGEN!$H$9:$H$128,"OK",SONDERZAHLUNGEN!$F$9:$F$128,"Ja")-G376))</x:f>
      </x:c>
    </x:row>
    <x:row r="377" ht="19" customHeight="1">
      <x:c r="A377" s="90" t="n">
        <x:f>MONATSBUDGET!$A$25</x:f>
        <x:v>46753</x:v>
      </x:c>
      <x:c r="B377" t="n">
        <x:f>18</x:f>
        <x:v>18</x:v>
      </x:c>
      <x:c r="C377" t="str">
        <x:f>IF($N$26="","",$N$26)</x:f>
      </x:c>
      <x:c r="D377" s="88" t="str">
        <x:f>IF(C377="","",I357)</x:f>
      </x:c>
      <x:c r="E377" s="88" t="str">
        <x:f>IF(C377="","",ROUND(D377*$P$26/12,2))</x:f>
      </x:c>
      <x:c r="F377" s="88" t="str">
        <x:f>IF(C377="","",MIN(D377+E377,$Q$26))</x:f>
      </x:c>
      <x:c r="G377" s="88" t="str">
        <x:f>IF(C377="","",MIN(MAX(0,D377+E377-F377),SUMIFS(SONDERZAHLUNGEN!$E$9:$E$128,SONDERZAHLUNGEN!$B$9:$B$128,C377,SONDERZAHLUNGEN!$C$9:$C$128,A377,SONDERZAHLUNGEN!$H$9:$H$128,"OK",SONDERZAHLUNGEN!$F$9:$F$128,"Ja")))</x:f>
      </x:c>
      <x:c r="H377" s="88" t="str">
        <x:f>IF(C377="","",MIN(MAX(0,D377+E377-F377-G377),MAX(0,IF(MONATSBUDGET!$C$25="",0,MONATSBUDGET!$C$25)-SUM(F360:F379)-SUM(H360:H376))))</x:f>
      </x:c>
      <x:c r="I377" s="88" t="str">
        <x:f>IF(C377="","",MAX(0,ROUND(D377+E377-F377-G377-H377,2)))</x:f>
      </x:c>
      <x:c r="J377" s="88" t="str">
        <x:f>IF(C377="","",F377+G377+H377)</x:f>
      </x:c>
      <x:c r="K377" s="88" t="str">
        <x:f>IF(C377="","",MAX(0,SUMIFS(SONDERZAHLUNGEN!$E$9:$E$128,SONDERZAHLUNGEN!$B$9:$B$128,C377,SONDERZAHLUNGEN!$C$9:$C$128,A377,SONDERZAHLUNGEN!$H$9:$H$128,"OK",SONDERZAHLUNGEN!$F$9:$F$128,"Ja")-G377))</x:f>
      </x:c>
    </x:row>
    <x:row r="378" ht="19" customHeight="1">
      <x:c r="A378" s="90" t="n">
        <x:f>MONATSBUDGET!$A$25</x:f>
        <x:v>46753</x:v>
      </x:c>
      <x:c r="B378" t="n">
        <x:f>19</x:f>
        <x:v>19</x:v>
      </x:c>
      <x:c r="C378" t="str">
        <x:f>IF($N$27="","",$N$27)</x:f>
      </x:c>
      <x:c r="D378" s="88" t="str">
        <x:f>IF(C378="","",I358)</x:f>
      </x:c>
      <x:c r="E378" s="88" t="str">
        <x:f>IF(C378="","",ROUND(D378*$P$27/12,2))</x:f>
      </x:c>
      <x:c r="F378" s="88" t="str">
        <x:f>IF(C378="","",MIN(D378+E378,$Q$27))</x:f>
      </x:c>
      <x:c r="G378" s="88" t="str">
        <x:f>IF(C378="","",MIN(MAX(0,D378+E378-F378),SUMIFS(SONDERZAHLUNGEN!$E$9:$E$128,SONDERZAHLUNGEN!$B$9:$B$128,C378,SONDERZAHLUNGEN!$C$9:$C$128,A378,SONDERZAHLUNGEN!$H$9:$H$128,"OK",SONDERZAHLUNGEN!$F$9:$F$128,"Ja")))</x:f>
      </x:c>
      <x:c r="H378" s="88" t="str">
        <x:f>IF(C378="","",MIN(MAX(0,D378+E378-F378-G378),MAX(0,IF(MONATSBUDGET!$C$25="",0,MONATSBUDGET!$C$25)-SUM(F360:F379)-SUM(H360:H377))))</x:f>
      </x:c>
      <x:c r="I378" s="88" t="str">
        <x:f>IF(C378="","",MAX(0,ROUND(D378+E378-F378-G378-H378,2)))</x:f>
      </x:c>
      <x:c r="J378" s="88" t="str">
        <x:f>IF(C378="","",F378+G378+H378)</x:f>
      </x:c>
      <x:c r="K378" s="88" t="str">
        <x:f>IF(C378="","",MAX(0,SUMIFS(SONDERZAHLUNGEN!$E$9:$E$128,SONDERZAHLUNGEN!$B$9:$B$128,C378,SONDERZAHLUNGEN!$C$9:$C$128,A378,SONDERZAHLUNGEN!$H$9:$H$128,"OK",SONDERZAHLUNGEN!$F$9:$F$128,"Ja")-G378))</x:f>
      </x:c>
    </x:row>
    <x:row r="379" ht="19" customHeight="1">
      <x:c r="A379" s="90" t="n">
        <x:f>MONATSBUDGET!$A$25</x:f>
        <x:v>46753</x:v>
      </x:c>
      <x:c r="B379" t="n">
        <x:f>20</x:f>
        <x:v>20</x:v>
      </x:c>
      <x:c r="C379" t="str">
        <x:f>IF($N$28="","",$N$28)</x:f>
      </x:c>
      <x:c r="D379" s="88" t="str">
        <x:f>IF(C379="","",I359)</x:f>
      </x:c>
      <x:c r="E379" s="88" t="str">
        <x:f>IF(C379="","",ROUND(D379*$P$28/12,2))</x:f>
      </x:c>
      <x:c r="F379" s="88" t="str">
        <x:f>IF(C379="","",MIN(D379+E379,$Q$28))</x:f>
      </x:c>
      <x:c r="G379" s="88" t="str">
        <x:f>IF(C379="","",MIN(MAX(0,D379+E379-F379),SUMIFS(SONDERZAHLUNGEN!$E$9:$E$128,SONDERZAHLUNGEN!$B$9:$B$128,C379,SONDERZAHLUNGEN!$C$9:$C$128,A379,SONDERZAHLUNGEN!$H$9:$H$128,"OK",SONDERZAHLUNGEN!$F$9:$F$128,"Ja")))</x:f>
      </x:c>
      <x:c r="H379" s="88" t="str">
        <x:f>IF(C379="","",MIN(MAX(0,D379+E379-F379-G379),MAX(0,IF(MONATSBUDGET!$C$25="",0,MONATSBUDGET!$C$25)-SUM(F360:F379)-SUM(H360:H378))))</x:f>
      </x:c>
      <x:c r="I379" s="88" t="str">
        <x:f>IF(C379="","",MAX(0,ROUND(D379+E379-F379-G379-H379,2)))</x:f>
      </x:c>
      <x:c r="J379" s="88" t="str">
        <x:f>IF(C379="","",F379+G379+H379)</x:f>
      </x:c>
      <x:c r="K379" s="88" t="str">
        <x:f>IF(C379="","",MAX(0,SUMIFS(SONDERZAHLUNGEN!$E$9:$E$128,SONDERZAHLUNGEN!$B$9:$B$128,C379,SONDERZAHLUNGEN!$C$9:$C$128,A379,SONDERZAHLUNGEN!$H$9:$H$128,"OK",SONDERZAHLUNGEN!$F$9:$F$128,"Ja")-G379))</x:f>
      </x:c>
    </x:row>
    <x:row r="380" ht="19" customHeight="1">
      <x:c r="A380" s="90" t="n">
        <x:f>MONATSBUDGET!$A$26</x:f>
        <x:v>46784</x:v>
      </x:c>
      <x:c r="B380" t="n">
        <x:f>1</x:f>
        <x:v>1</x:v>
      </x:c>
      <x:c r="C380" t="str">
        <x:f>IF($N$9="","",$N$9)</x:f>
      </x:c>
      <x:c r="D380" s="88" t="str">
        <x:f>IF(C380="","",I360)</x:f>
      </x:c>
      <x:c r="E380" s="88" t="str">
        <x:f>IF(C380="","",ROUND(D380*$P$9/12,2))</x:f>
      </x:c>
      <x:c r="F380" s="88" t="str">
        <x:f>IF(C380="","",MIN(D380+E380,$Q$9))</x:f>
      </x:c>
      <x:c r="G380" s="88" t="str">
        <x:f>IF(C380="","",MIN(MAX(0,D380+E380-F380),SUMIFS(SONDERZAHLUNGEN!$E$9:$E$128,SONDERZAHLUNGEN!$B$9:$B$128,C380,SONDERZAHLUNGEN!$C$9:$C$128,A380,SONDERZAHLUNGEN!$H$9:$H$128,"OK",SONDERZAHLUNGEN!$F$9:$F$128,"Ja")))</x:f>
      </x:c>
      <x:c r="H380" s="88" t="str">
        <x:f>IF(C380="","",MIN(MAX(0,D380+E380-F380-G380),MAX(0,IF(MONATSBUDGET!$C$26="",0,MONATSBUDGET!$C$26)-SUM(F380:F399)-0)))</x:f>
      </x:c>
      <x:c r="I380" s="88" t="str">
        <x:f>IF(C380="","",MAX(0,ROUND(D380+E380-F380-G380-H380,2)))</x:f>
      </x:c>
      <x:c r="J380" s="88" t="str">
        <x:f>IF(C380="","",F380+G380+H380)</x:f>
      </x:c>
      <x:c r="K380" s="88" t="str">
        <x:f>IF(C380="","",MAX(0,SUMIFS(SONDERZAHLUNGEN!$E$9:$E$128,SONDERZAHLUNGEN!$B$9:$B$128,C380,SONDERZAHLUNGEN!$C$9:$C$128,A380,SONDERZAHLUNGEN!$H$9:$H$128,"OK",SONDERZAHLUNGEN!$F$9:$F$128,"Ja")-G380))</x:f>
      </x:c>
    </x:row>
    <x:row r="381" ht="19" customHeight="1">
      <x:c r="A381" s="90" t="n">
        <x:f>MONATSBUDGET!$A$26</x:f>
        <x:v>46784</x:v>
      </x:c>
      <x:c r="B381" t="n">
        <x:f>2</x:f>
        <x:v>2</x:v>
      </x:c>
      <x:c r="C381" t="str">
        <x:f>IF($N$10="","",$N$10)</x:f>
      </x:c>
      <x:c r="D381" s="88" t="str">
        <x:f>IF(C381="","",I361)</x:f>
      </x:c>
      <x:c r="E381" s="88" t="str">
        <x:f>IF(C381="","",ROUND(D381*$P$10/12,2))</x:f>
      </x:c>
      <x:c r="F381" s="88" t="str">
        <x:f>IF(C381="","",MIN(D381+E381,$Q$10))</x:f>
      </x:c>
      <x:c r="G381" s="88" t="str">
        <x:f>IF(C381="","",MIN(MAX(0,D381+E381-F381),SUMIFS(SONDERZAHLUNGEN!$E$9:$E$128,SONDERZAHLUNGEN!$B$9:$B$128,C381,SONDERZAHLUNGEN!$C$9:$C$128,A381,SONDERZAHLUNGEN!$H$9:$H$128,"OK",SONDERZAHLUNGEN!$F$9:$F$128,"Ja")))</x:f>
      </x:c>
      <x:c r="H381" s="88" t="str">
        <x:f>IF(C381="","",MIN(MAX(0,D381+E381-F381-G381),MAX(0,IF(MONATSBUDGET!$C$26="",0,MONATSBUDGET!$C$26)-SUM(F380:F399)-SUM(H380:H380))))</x:f>
      </x:c>
      <x:c r="I381" s="88" t="str">
        <x:f>IF(C381="","",MAX(0,ROUND(D381+E381-F381-G381-H381,2)))</x:f>
      </x:c>
      <x:c r="J381" s="88" t="str">
        <x:f>IF(C381="","",F381+G381+H381)</x:f>
      </x:c>
      <x:c r="K381" s="88" t="str">
        <x:f>IF(C381="","",MAX(0,SUMIFS(SONDERZAHLUNGEN!$E$9:$E$128,SONDERZAHLUNGEN!$B$9:$B$128,C381,SONDERZAHLUNGEN!$C$9:$C$128,A381,SONDERZAHLUNGEN!$H$9:$H$128,"OK",SONDERZAHLUNGEN!$F$9:$F$128,"Ja")-G381))</x:f>
      </x:c>
    </x:row>
    <x:row r="382" ht="19" customHeight="1">
      <x:c r="A382" s="90" t="n">
        <x:f>MONATSBUDGET!$A$26</x:f>
        <x:v>46784</x:v>
      </x:c>
      <x:c r="B382" t="n">
        <x:f>3</x:f>
        <x:v>3</x:v>
      </x:c>
      <x:c r="C382" t="str">
        <x:f>IF($N$11="","",$N$11)</x:f>
      </x:c>
      <x:c r="D382" s="88" t="str">
        <x:f>IF(C382="","",I362)</x:f>
      </x:c>
      <x:c r="E382" s="88" t="str">
        <x:f>IF(C382="","",ROUND(D382*$P$11/12,2))</x:f>
      </x:c>
      <x:c r="F382" s="88" t="str">
        <x:f>IF(C382="","",MIN(D382+E382,$Q$11))</x:f>
      </x:c>
      <x:c r="G382" s="88" t="str">
        <x:f>IF(C382="","",MIN(MAX(0,D382+E382-F382),SUMIFS(SONDERZAHLUNGEN!$E$9:$E$128,SONDERZAHLUNGEN!$B$9:$B$128,C382,SONDERZAHLUNGEN!$C$9:$C$128,A382,SONDERZAHLUNGEN!$H$9:$H$128,"OK",SONDERZAHLUNGEN!$F$9:$F$128,"Ja")))</x:f>
      </x:c>
      <x:c r="H382" s="88" t="str">
        <x:f>IF(C382="","",MIN(MAX(0,D382+E382-F382-G382),MAX(0,IF(MONATSBUDGET!$C$26="",0,MONATSBUDGET!$C$26)-SUM(F380:F399)-SUM(H380:H381))))</x:f>
      </x:c>
      <x:c r="I382" s="88" t="str">
        <x:f>IF(C382="","",MAX(0,ROUND(D382+E382-F382-G382-H382,2)))</x:f>
      </x:c>
      <x:c r="J382" s="88" t="str">
        <x:f>IF(C382="","",F382+G382+H382)</x:f>
      </x:c>
      <x:c r="K382" s="88" t="str">
        <x:f>IF(C382="","",MAX(0,SUMIFS(SONDERZAHLUNGEN!$E$9:$E$128,SONDERZAHLUNGEN!$B$9:$B$128,C382,SONDERZAHLUNGEN!$C$9:$C$128,A382,SONDERZAHLUNGEN!$H$9:$H$128,"OK",SONDERZAHLUNGEN!$F$9:$F$128,"Ja")-G382))</x:f>
      </x:c>
    </x:row>
    <x:row r="383" ht="19" customHeight="1">
      <x:c r="A383" s="90" t="n">
        <x:f>MONATSBUDGET!$A$26</x:f>
        <x:v>46784</x:v>
      </x:c>
      <x:c r="B383" t="n">
        <x:f>4</x:f>
        <x:v>4</x:v>
      </x:c>
      <x:c r="C383" t="str">
        <x:f>IF($N$12="","",$N$12)</x:f>
      </x:c>
      <x:c r="D383" s="88" t="str">
        <x:f>IF(C383="","",I363)</x:f>
      </x:c>
      <x:c r="E383" s="88" t="str">
        <x:f>IF(C383="","",ROUND(D383*$P$12/12,2))</x:f>
      </x:c>
      <x:c r="F383" s="88" t="str">
        <x:f>IF(C383="","",MIN(D383+E383,$Q$12))</x:f>
      </x:c>
      <x:c r="G383" s="88" t="str">
        <x:f>IF(C383="","",MIN(MAX(0,D383+E383-F383),SUMIFS(SONDERZAHLUNGEN!$E$9:$E$128,SONDERZAHLUNGEN!$B$9:$B$128,C383,SONDERZAHLUNGEN!$C$9:$C$128,A383,SONDERZAHLUNGEN!$H$9:$H$128,"OK",SONDERZAHLUNGEN!$F$9:$F$128,"Ja")))</x:f>
      </x:c>
      <x:c r="H383" s="88" t="str">
        <x:f>IF(C383="","",MIN(MAX(0,D383+E383-F383-G383),MAX(0,IF(MONATSBUDGET!$C$26="",0,MONATSBUDGET!$C$26)-SUM(F380:F399)-SUM(H380:H382))))</x:f>
      </x:c>
      <x:c r="I383" s="88" t="str">
        <x:f>IF(C383="","",MAX(0,ROUND(D383+E383-F383-G383-H383,2)))</x:f>
      </x:c>
      <x:c r="J383" s="88" t="str">
        <x:f>IF(C383="","",F383+G383+H383)</x:f>
      </x:c>
      <x:c r="K383" s="88" t="str">
        <x:f>IF(C383="","",MAX(0,SUMIFS(SONDERZAHLUNGEN!$E$9:$E$128,SONDERZAHLUNGEN!$B$9:$B$128,C383,SONDERZAHLUNGEN!$C$9:$C$128,A383,SONDERZAHLUNGEN!$H$9:$H$128,"OK",SONDERZAHLUNGEN!$F$9:$F$128,"Ja")-G383))</x:f>
      </x:c>
    </x:row>
    <x:row r="384" ht="19" customHeight="1">
      <x:c r="A384" s="90" t="n">
        <x:f>MONATSBUDGET!$A$26</x:f>
        <x:v>46784</x:v>
      </x:c>
      <x:c r="B384" t="n">
        <x:f>5</x:f>
        <x:v>5</x:v>
      </x:c>
      <x:c r="C384" t="str">
        <x:f>IF($N$13="","",$N$13)</x:f>
      </x:c>
      <x:c r="D384" s="88" t="str">
        <x:f>IF(C384="","",I364)</x:f>
      </x:c>
      <x:c r="E384" s="88" t="str">
        <x:f>IF(C384="","",ROUND(D384*$P$13/12,2))</x:f>
      </x:c>
      <x:c r="F384" s="88" t="str">
        <x:f>IF(C384="","",MIN(D384+E384,$Q$13))</x:f>
      </x:c>
      <x:c r="G384" s="88" t="str">
        <x:f>IF(C384="","",MIN(MAX(0,D384+E384-F384),SUMIFS(SONDERZAHLUNGEN!$E$9:$E$128,SONDERZAHLUNGEN!$B$9:$B$128,C384,SONDERZAHLUNGEN!$C$9:$C$128,A384,SONDERZAHLUNGEN!$H$9:$H$128,"OK",SONDERZAHLUNGEN!$F$9:$F$128,"Ja")))</x:f>
      </x:c>
      <x:c r="H384" s="88" t="str">
        <x:f>IF(C384="","",MIN(MAX(0,D384+E384-F384-G384),MAX(0,IF(MONATSBUDGET!$C$26="",0,MONATSBUDGET!$C$26)-SUM(F380:F399)-SUM(H380:H383))))</x:f>
      </x:c>
      <x:c r="I384" s="88" t="str">
        <x:f>IF(C384="","",MAX(0,ROUND(D384+E384-F384-G384-H384,2)))</x:f>
      </x:c>
      <x:c r="J384" s="88" t="str">
        <x:f>IF(C384="","",F384+G384+H384)</x:f>
      </x:c>
      <x:c r="K384" s="88" t="str">
        <x:f>IF(C384="","",MAX(0,SUMIFS(SONDERZAHLUNGEN!$E$9:$E$128,SONDERZAHLUNGEN!$B$9:$B$128,C384,SONDERZAHLUNGEN!$C$9:$C$128,A384,SONDERZAHLUNGEN!$H$9:$H$128,"OK",SONDERZAHLUNGEN!$F$9:$F$128,"Ja")-G384))</x:f>
      </x:c>
    </x:row>
    <x:row r="385" ht="19" customHeight="1">
      <x:c r="A385" s="90" t="n">
        <x:f>MONATSBUDGET!$A$26</x:f>
        <x:v>46784</x:v>
      </x:c>
      <x:c r="B385" t="n">
        <x:f>6</x:f>
        <x:v>6</x:v>
      </x:c>
      <x:c r="C385" t="str">
        <x:f>IF($N$14="","",$N$14)</x:f>
      </x:c>
      <x:c r="D385" s="88" t="str">
        <x:f>IF(C385="","",I365)</x:f>
      </x:c>
      <x:c r="E385" s="88" t="str">
        <x:f>IF(C385="","",ROUND(D385*$P$14/12,2))</x:f>
      </x:c>
      <x:c r="F385" s="88" t="str">
        <x:f>IF(C385="","",MIN(D385+E385,$Q$14))</x:f>
      </x:c>
      <x:c r="G385" s="88" t="str">
        <x:f>IF(C385="","",MIN(MAX(0,D385+E385-F385),SUMIFS(SONDERZAHLUNGEN!$E$9:$E$128,SONDERZAHLUNGEN!$B$9:$B$128,C385,SONDERZAHLUNGEN!$C$9:$C$128,A385,SONDERZAHLUNGEN!$H$9:$H$128,"OK",SONDERZAHLUNGEN!$F$9:$F$128,"Ja")))</x:f>
      </x:c>
      <x:c r="H385" s="88" t="str">
        <x:f>IF(C385="","",MIN(MAX(0,D385+E385-F385-G385),MAX(0,IF(MONATSBUDGET!$C$26="",0,MONATSBUDGET!$C$26)-SUM(F380:F399)-SUM(H380:H384))))</x:f>
      </x:c>
      <x:c r="I385" s="88" t="str">
        <x:f>IF(C385="","",MAX(0,ROUND(D385+E385-F385-G385-H385,2)))</x:f>
      </x:c>
      <x:c r="J385" s="88" t="str">
        <x:f>IF(C385="","",F385+G385+H385)</x:f>
      </x:c>
      <x:c r="K385" s="88" t="str">
        <x:f>IF(C385="","",MAX(0,SUMIFS(SONDERZAHLUNGEN!$E$9:$E$128,SONDERZAHLUNGEN!$B$9:$B$128,C385,SONDERZAHLUNGEN!$C$9:$C$128,A385,SONDERZAHLUNGEN!$H$9:$H$128,"OK",SONDERZAHLUNGEN!$F$9:$F$128,"Ja")-G385))</x:f>
      </x:c>
    </x:row>
    <x:row r="386" ht="19" customHeight="1">
      <x:c r="A386" s="90" t="n">
        <x:f>MONATSBUDGET!$A$26</x:f>
        <x:v>46784</x:v>
      </x:c>
      <x:c r="B386" t="n">
        <x:f>7</x:f>
        <x:v>7</x:v>
      </x:c>
      <x:c r="C386" t="str">
        <x:f>IF($N$15="","",$N$15)</x:f>
      </x:c>
      <x:c r="D386" s="88" t="str">
        <x:f>IF(C386="","",I366)</x:f>
      </x:c>
      <x:c r="E386" s="88" t="str">
        <x:f>IF(C386="","",ROUND(D386*$P$15/12,2))</x:f>
      </x:c>
      <x:c r="F386" s="88" t="str">
        <x:f>IF(C386="","",MIN(D386+E386,$Q$15))</x:f>
      </x:c>
      <x:c r="G386" s="88" t="str">
        <x:f>IF(C386="","",MIN(MAX(0,D386+E386-F386),SUMIFS(SONDERZAHLUNGEN!$E$9:$E$128,SONDERZAHLUNGEN!$B$9:$B$128,C386,SONDERZAHLUNGEN!$C$9:$C$128,A386,SONDERZAHLUNGEN!$H$9:$H$128,"OK",SONDERZAHLUNGEN!$F$9:$F$128,"Ja")))</x:f>
      </x:c>
      <x:c r="H386" s="88" t="str">
        <x:f>IF(C386="","",MIN(MAX(0,D386+E386-F386-G386),MAX(0,IF(MONATSBUDGET!$C$26="",0,MONATSBUDGET!$C$26)-SUM(F380:F399)-SUM(H380:H385))))</x:f>
      </x:c>
      <x:c r="I386" s="88" t="str">
        <x:f>IF(C386="","",MAX(0,ROUND(D386+E386-F386-G386-H386,2)))</x:f>
      </x:c>
      <x:c r="J386" s="88" t="str">
        <x:f>IF(C386="","",F386+G386+H386)</x:f>
      </x:c>
      <x:c r="K386" s="88" t="str">
        <x:f>IF(C386="","",MAX(0,SUMIFS(SONDERZAHLUNGEN!$E$9:$E$128,SONDERZAHLUNGEN!$B$9:$B$128,C386,SONDERZAHLUNGEN!$C$9:$C$128,A386,SONDERZAHLUNGEN!$H$9:$H$128,"OK",SONDERZAHLUNGEN!$F$9:$F$128,"Ja")-G386))</x:f>
      </x:c>
    </x:row>
    <x:row r="387" ht="19" customHeight="1">
      <x:c r="A387" s="90" t="n">
        <x:f>MONATSBUDGET!$A$26</x:f>
        <x:v>46784</x:v>
      </x:c>
      <x:c r="B387" t="n">
        <x:f>8</x:f>
        <x:v>8</x:v>
      </x:c>
      <x:c r="C387" t="str">
        <x:f>IF($N$16="","",$N$16)</x:f>
      </x:c>
      <x:c r="D387" s="88" t="str">
        <x:f>IF(C387="","",I367)</x:f>
      </x:c>
      <x:c r="E387" s="88" t="str">
        <x:f>IF(C387="","",ROUND(D387*$P$16/12,2))</x:f>
      </x:c>
      <x:c r="F387" s="88" t="str">
        <x:f>IF(C387="","",MIN(D387+E387,$Q$16))</x:f>
      </x:c>
      <x:c r="G387" s="88" t="str">
        <x:f>IF(C387="","",MIN(MAX(0,D387+E387-F387),SUMIFS(SONDERZAHLUNGEN!$E$9:$E$128,SONDERZAHLUNGEN!$B$9:$B$128,C387,SONDERZAHLUNGEN!$C$9:$C$128,A387,SONDERZAHLUNGEN!$H$9:$H$128,"OK",SONDERZAHLUNGEN!$F$9:$F$128,"Ja")))</x:f>
      </x:c>
      <x:c r="H387" s="88" t="str">
        <x:f>IF(C387="","",MIN(MAX(0,D387+E387-F387-G387),MAX(0,IF(MONATSBUDGET!$C$26="",0,MONATSBUDGET!$C$26)-SUM(F380:F399)-SUM(H380:H386))))</x:f>
      </x:c>
      <x:c r="I387" s="88" t="str">
        <x:f>IF(C387="","",MAX(0,ROUND(D387+E387-F387-G387-H387,2)))</x:f>
      </x:c>
      <x:c r="J387" s="88" t="str">
        <x:f>IF(C387="","",F387+G387+H387)</x:f>
      </x:c>
      <x:c r="K387" s="88" t="str">
        <x:f>IF(C387="","",MAX(0,SUMIFS(SONDERZAHLUNGEN!$E$9:$E$128,SONDERZAHLUNGEN!$B$9:$B$128,C387,SONDERZAHLUNGEN!$C$9:$C$128,A387,SONDERZAHLUNGEN!$H$9:$H$128,"OK",SONDERZAHLUNGEN!$F$9:$F$128,"Ja")-G387))</x:f>
      </x:c>
    </x:row>
    <x:row r="388" ht="19" customHeight="1">
      <x:c r="A388" s="90" t="n">
        <x:f>MONATSBUDGET!$A$26</x:f>
        <x:v>46784</x:v>
      </x:c>
      <x:c r="B388" t="n">
        <x:f>9</x:f>
        <x:v>9</x:v>
      </x:c>
      <x:c r="C388" t="str">
        <x:f>IF($N$17="","",$N$17)</x:f>
      </x:c>
      <x:c r="D388" s="88" t="str">
        <x:f>IF(C388="","",I368)</x:f>
      </x:c>
      <x:c r="E388" s="88" t="str">
        <x:f>IF(C388="","",ROUND(D388*$P$17/12,2))</x:f>
      </x:c>
      <x:c r="F388" s="88" t="str">
        <x:f>IF(C388="","",MIN(D388+E388,$Q$17))</x:f>
      </x:c>
      <x:c r="G388" s="88" t="str">
        <x:f>IF(C388="","",MIN(MAX(0,D388+E388-F388),SUMIFS(SONDERZAHLUNGEN!$E$9:$E$128,SONDERZAHLUNGEN!$B$9:$B$128,C388,SONDERZAHLUNGEN!$C$9:$C$128,A388,SONDERZAHLUNGEN!$H$9:$H$128,"OK",SONDERZAHLUNGEN!$F$9:$F$128,"Ja")))</x:f>
      </x:c>
      <x:c r="H388" s="88" t="str">
        <x:f>IF(C388="","",MIN(MAX(0,D388+E388-F388-G388),MAX(0,IF(MONATSBUDGET!$C$26="",0,MONATSBUDGET!$C$26)-SUM(F380:F399)-SUM(H380:H387))))</x:f>
      </x:c>
      <x:c r="I388" s="88" t="str">
        <x:f>IF(C388="","",MAX(0,ROUND(D388+E388-F388-G388-H388,2)))</x:f>
      </x:c>
      <x:c r="J388" s="88" t="str">
        <x:f>IF(C388="","",F388+G388+H388)</x:f>
      </x:c>
      <x:c r="K388" s="88" t="str">
        <x:f>IF(C388="","",MAX(0,SUMIFS(SONDERZAHLUNGEN!$E$9:$E$128,SONDERZAHLUNGEN!$B$9:$B$128,C388,SONDERZAHLUNGEN!$C$9:$C$128,A388,SONDERZAHLUNGEN!$H$9:$H$128,"OK",SONDERZAHLUNGEN!$F$9:$F$128,"Ja")-G388))</x:f>
      </x:c>
    </x:row>
    <x:row r="389" ht="19" customHeight="1">
      <x:c r="A389" s="90" t="n">
        <x:f>MONATSBUDGET!$A$26</x:f>
        <x:v>46784</x:v>
      </x:c>
      <x:c r="B389" t="n">
        <x:f>10</x:f>
        <x:v>10</x:v>
      </x:c>
      <x:c r="C389" t="str">
        <x:f>IF($N$18="","",$N$18)</x:f>
      </x:c>
      <x:c r="D389" s="88" t="str">
        <x:f>IF(C389="","",I369)</x:f>
      </x:c>
      <x:c r="E389" s="88" t="str">
        <x:f>IF(C389="","",ROUND(D389*$P$18/12,2))</x:f>
      </x:c>
      <x:c r="F389" s="88" t="str">
        <x:f>IF(C389="","",MIN(D389+E389,$Q$18))</x:f>
      </x:c>
      <x:c r="G389" s="88" t="str">
        <x:f>IF(C389="","",MIN(MAX(0,D389+E389-F389),SUMIFS(SONDERZAHLUNGEN!$E$9:$E$128,SONDERZAHLUNGEN!$B$9:$B$128,C389,SONDERZAHLUNGEN!$C$9:$C$128,A389,SONDERZAHLUNGEN!$H$9:$H$128,"OK",SONDERZAHLUNGEN!$F$9:$F$128,"Ja")))</x:f>
      </x:c>
      <x:c r="H389" s="88" t="str">
        <x:f>IF(C389="","",MIN(MAX(0,D389+E389-F389-G389),MAX(0,IF(MONATSBUDGET!$C$26="",0,MONATSBUDGET!$C$26)-SUM(F380:F399)-SUM(H380:H388))))</x:f>
      </x:c>
      <x:c r="I389" s="88" t="str">
        <x:f>IF(C389="","",MAX(0,ROUND(D389+E389-F389-G389-H389,2)))</x:f>
      </x:c>
      <x:c r="J389" s="88" t="str">
        <x:f>IF(C389="","",F389+G389+H389)</x:f>
      </x:c>
      <x:c r="K389" s="88" t="str">
        <x:f>IF(C389="","",MAX(0,SUMIFS(SONDERZAHLUNGEN!$E$9:$E$128,SONDERZAHLUNGEN!$B$9:$B$128,C389,SONDERZAHLUNGEN!$C$9:$C$128,A389,SONDERZAHLUNGEN!$H$9:$H$128,"OK",SONDERZAHLUNGEN!$F$9:$F$128,"Ja")-G389))</x:f>
      </x:c>
    </x:row>
    <x:row r="390" ht="19" customHeight="1">
      <x:c r="A390" s="90" t="n">
        <x:f>MONATSBUDGET!$A$26</x:f>
        <x:v>46784</x:v>
      </x:c>
      <x:c r="B390" t="n">
        <x:f>11</x:f>
        <x:v>11</x:v>
      </x:c>
      <x:c r="C390" t="str">
        <x:f>IF($N$19="","",$N$19)</x:f>
      </x:c>
      <x:c r="D390" s="88" t="str">
        <x:f>IF(C390="","",I370)</x:f>
      </x:c>
      <x:c r="E390" s="88" t="str">
        <x:f>IF(C390="","",ROUND(D390*$P$19/12,2))</x:f>
      </x:c>
      <x:c r="F390" s="88" t="str">
        <x:f>IF(C390="","",MIN(D390+E390,$Q$19))</x:f>
      </x:c>
      <x:c r="G390" s="88" t="str">
        <x:f>IF(C390="","",MIN(MAX(0,D390+E390-F390),SUMIFS(SONDERZAHLUNGEN!$E$9:$E$128,SONDERZAHLUNGEN!$B$9:$B$128,C390,SONDERZAHLUNGEN!$C$9:$C$128,A390,SONDERZAHLUNGEN!$H$9:$H$128,"OK",SONDERZAHLUNGEN!$F$9:$F$128,"Ja")))</x:f>
      </x:c>
      <x:c r="H390" s="88" t="str">
        <x:f>IF(C390="","",MIN(MAX(0,D390+E390-F390-G390),MAX(0,IF(MONATSBUDGET!$C$26="",0,MONATSBUDGET!$C$26)-SUM(F380:F399)-SUM(H380:H389))))</x:f>
      </x:c>
      <x:c r="I390" s="88" t="str">
        <x:f>IF(C390="","",MAX(0,ROUND(D390+E390-F390-G390-H390,2)))</x:f>
      </x:c>
      <x:c r="J390" s="88" t="str">
        <x:f>IF(C390="","",F390+G390+H390)</x:f>
      </x:c>
      <x:c r="K390" s="88" t="str">
        <x:f>IF(C390="","",MAX(0,SUMIFS(SONDERZAHLUNGEN!$E$9:$E$128,SONDERZAHLUNGEN!$B$9:$B$128,C390,SONDERZAHLUNGEN!$C$9:$C$128,A390,SONDERZAHLUNGEN!$H$9:$H$128,"OK",SONDERZAHLUNGEN!$F$9:$F$128,"Ja")-G390))</x:f>
      </x:c>
    </x:row>
    <x:row r="391" ht="19" customHeight="1">
      <x:c r="A391" s="90" t="n">
        <x:f>MONATSBUDGET!$A$26</x:f>
        <x:v>46784</x:v>
      </x:c>
      <x:c r="B391" t="n">
        <x:f>12</x:f>
        <x:v>12</x:v>
      </x:c>
      <x:c r="C391" t="str">
        <x:f>IF($N$20="","",$N$20)</x:f>
      </x:c>
      <x:c r="D391" s="88" t="str">
        <x:f>IF(C391="","",I371)</x:f>
      </x:c>
      <x:c r="E391" s="88" t="str">
        <x:f>IF(C391="","",ROUND(D391*$P$20/12,2))</x:f>
      </x:c>
      <x:c r="F391" s="88" t="str">
        <x:f>IF(C391="","",MIN(D391+E391,$Q$20))</x:f>
      </x:c>
      <x:c r="G391" s="88" t="str">
        <x:f>IF(C391="","",MIN(MAX(0,D391+E391-F391),SUMIFS(SONDERZAHLUNGEN!$E$9:$E$128,SONDERZAHLUNGEN!$B$9:$B$128,C391,SONDERZAHLUNGEN!$C$9:$C$128,A391,SONDERZAHLUNGEN!$H$9:$H$128,"OK",SONDERZAHLUNGEN!$F$9:$F$128,"Ja")))</x:f>
      </x:c>
      <x:c r="H391" s="88" t="str">
        <x:f>IF(C391="","",MIN(MAX(0,D391+E391-F391-G391),MAX(0,IF(MONATSBUDGET!$C$26="",0,MONATSBUDGET!$C$26)-SUM(F380:F399)-SUM(H380:H390))))</x:f>
      </x:c>
      <x:c r="I391" s="88" t="str">
        <x:f>IF(C391="","",MAX(0,ROUND(D391+E391-F391-G391-H391,2)))</x:f>
      </x:c>
      <x:c r="J391" s="88" t="str">
        <x:f>IF(C391="","",F391+G391+H391)</x:f>
      </x:c>
      <x:c r="K391" s="88" t="str">
        <x:f>IF(C391="","",MAX(0,SUMIFS(SONDERZAHLUNGEN!$E$9:$E$128,SONDERZAHLUNGEN!$B$9:$B$128,C391,SONDERZAHLUNGEN!$C$9:$C$128,A391,SONDERZAHLUNGEN!$H$9:$H$128,"OK",SONDERZAHLUNGEN!$F$9:$F$128,"Ja")-G391))</x:f>
      </x:c>
    </x:row>
    <x:row r="392" ht="19" customHeight="1">
      <x:c r="A392" s="90" t="n">
        <x:f>MONATSBUDGET!$A$26</x:f>
        <x:v>46784</x:v>
      </x:c>
      <x:c r="B392" t="n">
        <x:f>13</x:f>
        <x:v>13</x:v>
      </x:c>
      <x:c r="C392" t="str">
        <x:f>IF($N$21="","",$N$21)</x:f>
      </x:c>
      <x:c r="D392" s="88" t="str">
        <x:f>IF(C392="","",I372)</x:f>
      </x:c>
      <x:c r="E392" s="88" t="str">
        <x:f>IF(C392="","",ROUND(D392*$P$21/12,2))</x:f>
      </x:c>
      <x:c r="F392" s="88" t="str">
        <x:f>IF(C392="","",MIN(D392+E392,$Q$21))</x:f>
      </x:c>
      <x:c r="G392" s="88" t="str">
        <x:f>IF(C392="","",MIN(MAX(0,D392+E392-F392),SUMIFS(SONDERZAHLUNGEN!$E$9:$E$128,SONDERZAHLUNGEN!$B$9:$B$128,C392,SONDERZAHLUNGEN!$C$9:$C$128,A392,SONDERZAHLUNGEN!$H$9:$H$128,"OK",SONDERZAHLUNGEN!$F$9:$F$128,"Ja")))</x:f>
      </x:c>
      <x:c r="H392" s="88" t="str">
        <x:f>IF(C392="","",MIN(MAX(0,D392+E392-F392-G392),MAX(0,IF(MONATSBUDGET!$C$26="",0,MONATSBUDGET!$C$26)-SUM(F380:F399)-SUM(H380:H391))))</x:f>
      </x:c>
      <x:c r="I392" s="88" t="str">
        <x:f>IF(C392="","",MAX(0,ROUND(D392+E392-F392-G392-H392,2)))</x:f>
      </x:c>
      <x:c r="J392" s="88" t="str">
        <x:f>IF(C392="","",F392+G392+H392)</x:f>
      </x:c>
      <x:c r="K392" s="88" t="str">
        <x:f>IF(C392="","",MAX(0,SUMIFS(SONDERZAHLUNGEN!$E$9:$E$128,SONDERZAHLUNGEN!$B$9:$B$128,C392,SONDERZAHLUNGEN!$C$9:$C$128,A392,SONDERZAHLUNGEN!$H$9:$H$128,"OK",SONDERZAHLUNGEN!$F$9:$F$128,"Ja")-G392))</x:f>
      </x:c>
    </x:row>
    <x:row r="393" ht="19" customHeight="1">
      <x:c r="A393" s="90" t="n">
        <x:f>MONATSBUDGET!$A$26</x:f>
        <x:v>46784</x:v>
      </x:c>
      <x:c r="B393" t="n">
        <x:f>14</x:f>
        <x:v>14</x:v>
      </x:c>
      <x:c r="C393" t="str">
        <x:f>IF($N$22="","",$N$22)</x:f>
      </x:c>
      <x:c r="D393" s="88" t="str">
        <x:f>IF(C393="","",I373)</x:f>
      </x:c>
      <x:c r="E393" s="88" t="str">
        <x:f>IF(C393="","",ROUND(D393*$P$22/12,2))</x:f>
      </x:c>
      <x:c r="F393" s="88" t="str">
        <x:f>IF(C393="","",MIN(D393+E393,$Q$22))</x:f>
      </x:c>
      <x:c r="G393" s="88" t="str">
        <x:f>IF(C393="","",MIN(MAX(0,D393+E393-F393),SUMIFS(SONDERZAHLUNGEN!$E$9:$E$128,SONDERZAHLUNGEN!$B$9:$B$128,C393,SONDERZAHLUNGEN!$C$9:$C$128,A393,SONDERZAHLUNGEN!$H$9:$H$128,"OK",SONDERZAHLUNGEN!$F$9:$F$128,"Ja")))</x:f>
      </x:c>
      <x:c r="H393" s="88" t="str">
        <x:f>IF(C393="","",MIN(MAX(0,D393+E393-F393-G393),MAX(0,IF(MONATSBUDGET!$C$26="",0,MONATSBUDGET!$C$26)-SUM(F380:F399)-SUM(H380:H392))))</x:f>
      </x:c>
      <x:c r="I393" s="88" t="str">
        <x:f>IF(C393="","",MAX(0,ROUND(D393+E393-F393-G393-H393,2)))</x:f>
      </x:c>
      <x:c r="J393" s="88" t="str">
        <x:f>IF(C393="","",F393+G393+H393)</x:f>
      </x:c>
      <x:c r="K393" s="88" t="str">
        <x:f>IF(C393="","",MAX(0,SUMIFS(SONDERZAHLUNGEN!$E$9:$E$128,SONDERZAHLUNGEN!$B$9:$B$128,C393,SONDERZAHLUNGEN!$C$9:$C$128,A393,SONDERZAHLUNGEN!$H$9:$H$128,"OK",SONDERZAHLUNGEN!$F$9:$F$128,"Ja")-G393))</x:f>
      </x:c>
    </x:row>
    <x:row r="394" ht="19" customHeight="1">
      <x:c r="A394" s="90" t="n">
        <x:f>MONATSBUDGET!$A$26</x:f>
        <x:v>46784</x:v>
      </x:c>
      <x:c r="B394" t="n">
        <x:f>15</x:f>
        <x:v>15</x:v>
      </x:c>
      <x:c r="C394" t="str">
        <x:f>IF($N$23="","",$N$23)</x:f>
      </x:c>
      <x:c r="D394" s="88" t="str">
        <x:f>IF(C394="","",I374)</x:f>
      </x:c>
      <x:c r="E394" s="88" t="str">
        <x:f>IF(C394="","",ROUND(D394*$P$23/12,2))</x:f>
      </x:c>
      <x:c r="F394" s="88" t="str">
        <x:f>IF(C394="","",MIN(D394+E394,$Q$23))</x:f>
      </x:c>
      <x:c r="G394" s="88" t="str">
        <x:f>IF(C394="","",MIN(MAX(0,D394+E394-F394),SUMIFS(SONDERZAHLUNGEN!$E$9:$E$128,SONDERZAHLUNGEN!$B$9:$B$128,C394,SONDERZAHLUNGEN!$C$9:$C$128,A394,SONDERZAHLUNGEN!$H$9:$H$128,"OK",SONDERZAHLUNGEN!$F$9:$F$128,"Ja")))</x:f>
      </x:c>
      <x:c r="H394" s="88" t="str">
        <x:f>IF(C394="","",MIN(MAX(0,D394+E394-F394-G394),MAX(0,IF(MONATSBUDGET!$C$26="",0,MONATSBUDGET!$C$26)-SUM(F380:F399)-SUM(H380:H393))))</x:f>
      </x:c>
      <x:c r="I394" s="88" t="str">
        <x:f>IF(C394="","",MAX(0,ROUND(D394+E394-F394-G394-H394,2)))</x:f>
      </x:c>
      <x:c r="J394" s="88" t="str">
        <x:f>IF(C394="","",F394+G394+H394)</x:f>
      </x:c>
      <x:c r="K394" s="88" t="str">
        <x:f>IF(C394="","",MAX(0,SUMIFS(SONDERZAHLUNGEN!$E$9:$E$128,SONDERZAHLUNGEN!$B$9:$B$128,C394,SONDERZAHLUNGEN!$C$9:$C$128,A394,SONDERZAHLUNGEN!$H$9:$H$128,"OK",SONDERZAHLUNGEN!$F$9:$F$128,"Ja")-G394))</x:f>
      </x:c>
    </x:row>
    <x:row r="395" ht="19" customHeight="1">
      <x:c r="A395" s="90" t="n">
        <x:f>MONATSBUDGET!$A$26</x:f>
        <x:v>46784</x:v>
      </x:c>
      <x:c r="B395" t="n">
        <x:f>16</x:f>
        <x:v>16</x:v>
      </x:c>
      <x:c r="C395" t="str">
        <x:f>IF($N$24="","",$N$24)</x:f>
      </x:c>
      <x:c r="D395" s="88" t="str">
        <x:f>IF(C395="","",I375)</x:f>
      </x:c>
      <x:c r="E395" s="88" t="str">
        <x:f>IF(C395="","",ROUND(D395*$P$24/12,2))</x:f>
      </x:c>
      <x:c r="F395" s="88" t="str">
        <x:f>IF(C395="","",MIN(D395+E395,$Q$24))</x:f>
      </x:c>
      <x:c r="G395" s="88" t="str">
        <x:f>IF(C395="","",MIN(MAX(0,D395+E395-F395),SUMIFS(SONDERZAHLUNGEN!$E$9:$E$128,SONDERZAHLUNGEN!$B$9:$B$128,C395,SONDERZAHLUNGEN!$C$9:$C$128,A395,SONDERZAHLUNGEN!$H$9:$H$128,"OK",SONDERZAHLUNGEN!$F$9:$F$128,"Ja")))</x:f>
      </x:c>
      <x:c r="H395" s="88" t="str">
        <x:f>IF(C395="","",MIN(MAX(0,D395+E395-F395-G395),MAX(0,IF(MONATSBUDGET!$C$26="",0,MONATSBUDGET!$C$26)-SUM(F380:F399)-SUM(H380:H394))))</x:f>
      </x:c>
      <x:c r="I395" s="88" t="str">
        <x:f>IF(C395="","",MAX(0,ROUND(D395+E395-F395-G395-H395,2)))</x:f>
      </x:c>
      <x:c r="J395" s="88" t="str">
        <x:f>IF(C395="","",F395+G395+H395)</x:f>
      </x:c>
      <x:c r="K395" s="88" t="str">
        <x:f>IF(C395="","",MAX(0,SUMIFS(SONDERZAHLUNGEN!$E$9:$E$128,SONDERZAHLUNGEN!$B$9:$B$128,C395,SONDERZAHLUNGEN!$C$9:$C$128,A395,SONDERZAHLUNGEN!$H$9:$H$128,"OK",SONDERZAHLUNGEN!$F$9:$F$128,"Ja")-G395))</x:f>
      </x:c>
    </x:row>
    <x:row r="396" ht="19" customHeight="1">
      <x:c r="A396" s="90" t="n">
        <x:f>MONATSBUDGET!$A$26</x:f>
        <x:v>46784</x:v>
      </x:c>
      <x:c r="B396" t="n">
        <x:f>17</x:f>
        <x:v>17</x:v>
      </x:c>
      <x:c r="C396" t="str">
        <x:f>IF($N$25="","",$N$25)</x:f>
      </x:c>
      <x:c r="D396" s="88" t="str">
        <x:f>IF(C396="","",I376)</x:f>
      </x:c>
      <x:c r="E396" s="88" t="str">
        <x:f>IF(C396="","",ROUND(D396*$P$25/12,2))</x:f>
      </x:c>
      <x:c r="F396" s="88" t="str">
        <x:f>IF(C396="","",MIN(D396+E396,$Q$25))</x:f>
      </x:c>
      <x:c r="G396" s="88" t="str">
        <x:f>IF(C396="","",MIN(MAX(0,D396+E396-F396),SUMIFS(SONDERZAHLUNGEN!$E$9:$E$128,SONDERZAHLUNGEN!$B$9:$B$128,C396,SONDERZAHLUNGEN!$C$9:$C$128,A396,SONDERZAHLUNGEN!$H$9:$H$128,"OK",SONDERZAHLUNGEN!$F$9:$F$128,"Ja")))</x:f>
      </x:c>
      <x:c r="H396" s="88" t="str">
        <x:f>IF(C396="","",MIN(MAX(0,D396+E396-F396-G396),MAX(0,IF(MONATSBUDGET!$C$26="",0,MONATSBUDGET!$C$26)-SUM(F380:F399)-SUM(H380:H395))))</x:f>
      </x:c>
      <x:c r="I396" s="88" t="str">
        <x:f>IF(C396="","",MAX(0,ROUND(D396+E396-F396-G396-H396,2)))</x:f>
      </x:c>
      <x:c r="J396" s="88" t="str">
        <x:f>IF(C396="","",F396+G396+H396)</x:f>
      </x:c>
      <x:c r="K396" s="88" t="str">
        <x:f>IF(C396="","",MAX(0,SUMIFS(SONDERZAHLUNGEN!$E$9:$E$128,SONDERZAHLUNGEN!$B$9:$B$128,C396,SONDERZAHLUNGEN!$C$9:$C$128,A396,SONDERZAHLUNGEN!$H$9:$H$128,"OK",SONDERZAHLUNGEN!$F$9:$F$128,"Ja")-G396))</x:f>
      </x:c>
    </x:row>
    <x:row r="397" ht="19" customHeight="1">
      <x:c r="A397" s="90" t="n">
        <x:f>MONATSBUDGET!$A$26</x:f>
        <x:v>46784</x:v>
      </x:c>
      <x:c r="B397" t="n">
        <x:f>18</x:f>
        <x:v>18</x:v>
      </x:c>
      <x:c r="C397" t="str">
        <x:f>IF($N$26="","",$N$26)</x:f>
      </x:c>
      <x:c r="D397" s="88" t="str">
        <x:f>IF(C397="","",I377)</x:f>
      </x:c>
      <x:c r="E397" s="88" t="str">
        <x:f>IF(C397="","",ROUND(D397*$P$26/12,2))</x:f>
      </x:c>
      <x:c r="F397" s="88" t="str">
        <x:f>IF(C397="","",MIN(D397+E397,$Q$26))</x:f>
      </x:c>
      <x:c r="G397" s="88" t="str">
        <x:f>IF(C397="","",MIN(MAX(0,D397+E397-F397),SUMIFS(SONDERZAHLUNGEN!$E$9:$E$128,SONDERZAHLUNGEN!$B$9:$B$128,C397,SONDERZAHLUNGEN!$C$9:$C$128,A397,SONDERZAHLUNGEN!$H$9:$H$128,"OK",SONDERZAHLUNGEN!$F$9:$F$128,"Ja")))</x:f>
      </x:c>
      <x:c r="H397" s="88" t="str">
        <x:f>IF(C397="","",MIN(MAX(0,D397+E397-F397-G397),MAX(0,IF(MONATSBUDGET!$C$26="",0,MONATSBUDGET!$C$26)-SUM(F380:F399)-SUM(H380:H396))))</x:f>
      </x:c>
      <x:c r="I397" s="88" t="str">
        <x:f>IF(C397="","",MAX(0,ROUND(D397+E397-F397-G397-H397,2)))</x:f>
      </x:c>
      <x:c r="J397" s="88" t="str">
        <x:f>IF(C397="","",F397+G397+H397)</x:f>
      </x:c>
      <x:c r="K397" s="88" t="str">
        <x:f>IF(C397="","",MAX(0,SUMIFS(SONDERZAHLUNGEN!$E$9:$E$128,SONDERZAHLUNGEN!$B$9:$B$128,C397,SONDERZAHLUNGEN!$C$9:$C$128,A397,SONDERZAHLUNGEN!$H$9:$H$128,"OK",SONDERZAHLUNGEN!$F$9:$F$128,"Ja")-G397))</x:f>
      </x:c>
    </x:row>
    <x:row r="398" ht="19" customHeight="1">
      <x:c r="A398" s="90" t="n">
        <x:f>MONATSBUDGET!$A$26</x:f>
        <x:v>46784</x:v>
      </x:c>
      <x:c r="B398" t="n">
        <x:f>19</x:f>
        <x:v>19</x:v>
      </x:c>
      <x:c r="C398" t="str">
        <x:f>IF($N$27="","",$N$27)</x:f>
      </x:c>
      <x:c r="D398" s="88" t="str">
        <x:f>IF(C398="","",I378)</x:f>
      </x:c>
      <x:c r="E398" s="88" t="str">
        <x:f>IF(C398="","",ROUND(D398*$P$27/12,2))</x:f>
      </x:c>
      <x:c r="F398" s="88" t="str">
        <x:f>IF(C398="","",MIN(D398+E398,$Q$27))</x:f>
      </x:c>
      <x:c r="G398" s="88" t="str">
        <x:f>IF(C398="","",MIN(MAX(0,D398+E398-F398),SUMIFS(SONDERZAHLUNGEN!$E$9:$E$128,SONDERZAHLUNGEN!$B$9:$B$128,C398,SONDERZAHLUNGEN!$C$9:$C$128,A398,SONDERZAHLUNGEN!$H$9:$H$128,"OK",SONDERZAHLUNGEN!$F$9:$F$128,"Ja")))</x:f>
      </x:c>
      <x:c r="H398" s="88" t="str">
        <x:f>IF(C398="","",MIN(MAX(0,D398+E398-F398-G398),MAX(0,IF(MONATSBUDGET!$C$26="",0,MONATSBUDGET!$C$26)-SUM(F380:F399)-SUM(H380:H397))))</x:f>
      </x:c>
      <x:c r="I398" s="88" t="str">
        <x:f>IF(C398="","",MAX(0,ROUND(D398+E398-F398-G398-H398,2)))</x:f>
      </x:c>
      <x:c r="J398" s="88" t="str">
        <x:f>IF(C398="","",F398+G398+H398)</x:f>
      </x:c>
      <x:c r="K398" s="88" t="str">
        <x:f>IF(C398="","",MAX(0,SUMIFS(SONDERZAHLUNGEN!$E$9:$E$128,SONDERZAHLUNGEN!$B$9:$B$128,C398,SONDERZAHLUNGEN!$C$9:$C$128,A398,SONDERZAHLUNGEN!$H$9:$H$128,"OK",SONDERZAHLUNGEN!$F$9:$F$128,"Ja")-G398))</x:f>
      </x:c>
    </x:row>
    <x:row r="399" ht="19" customHeight="1">
      <x:c r="A399" s="90" t="n">
        <x:f>MONATSBUDGET!$A$26</x:f>
        <x:v>46784</x:v>
      </x:c>
      <x:c r="B399" t="n">
        <x:f>20</x:f>
        <x:v>20</x:v>
      </x:c>
      <x:c r="C399" t="str">
        <x:f>IF($N$28="","",$N$28)</x:f>
      </x:c>
      <x:c r="D399" s="88" t="str">
        <x:f>IF(C399="","",I379)</x:f>
      </x:c>
      <x:c r="E399" s="88" t="str">
        <x:f>IF(C399="","",ROUND(D399*$P$28/12,2))</x:f>
      </x:c>
      <x:c r="F399" s="88" t="str">
        <x:f>IF(C399="","",MIN(D399+E399,$Q$28))</x:f>
      </x:c>
      <x:c r="G399" s="88" t="str">
        <x:f>IF(C399="","",MIN(MAX(0,D399+E399-F399),SUMIFS(SONDERZAHLUNGEN!$E$9:$E$128,SONDERZAHLUNGEN!$B$9:$B$128,C399,SONDERZAHLUNGEN!$C$9:$C$128,A399,SONDERZAHLUNGEN!$H$9:$H$128,"OK",SONDERZAHLUNGEN!$F$9:$F$128,"Ja")))</x:f>
      </x:c>
      <x:c r="H399" s="88" t="str">
        <x:f>IF(C399="","",MIN(MAX(0,D399+E399-F399-G399),MAX(0,IF(MONATSBUDGET!$C$26="",0,MONATSBUDGET!$C$26)-SUM(F380:F399)-SUM(H380:H398))))</x:f>
      </x:c>
      <x:c r="I399" s="88" t="str">
        <x:f>IF(C399="","",MAX(0,ROUND(D399+E399-F399-G399-H399,2)))</x:f>
      </x:c>
      <x:c r="J399" s="88" t="str">
        <x:f>IF(C399="","",F399+G399+H399)</x:f>
      </x:c>
      <x:c r="K399" s="88" t="str">
        <x:f>IF(C399="","",MAX(0,SUMIFS(SONDERZAHLUNGEN!$E$9:$E$128,SONDERZAHLUNGEN!$B$9:$B$128,C399,SONDERZAHLUNGEN!$C$9:$C$128,A399,SONDERZAHLUNGEN!$H$9:$H$128,"OK",SONDERZAHLUNGEN!$F$9:$F$128,"Ja")-G399))</x:f>
      </x:c>
    </x:row>
    <x:row r="400" ht="19" customHeight="1">
      <x:c r="A400" s="90" t="n">
        <x:f>MONATSBUDGET!$A$27</x:f>
        <x:v>46813</x:v>
      </x:c>
      <x:c r="B400" t="n">
        <x:f>1</x:f>
        <x:v>1</x:v>
      </x:c>
      <x:c r="C400" t="str">
        <x:f>IF($N$9="","",$N$9)</x:f>
      </x:c>
      <x:c r="D400" s="88" t="str">
        <x:f>IF(C400="","",I380)</x:f>
      </x:c>
      <x:c r="E400" s="88" t="str">
        <x:f>IF(C400="","",ROUND(D400*$P$9/12,2))</x:f>
      </x:c>
      <x:c r="F400" s="88" t="str">
        <x:f>IF(C400="","",MIN(D400+E400,$Q$9))</x:f>
      </x:c>
      <x:c r="G400" s="88" t="str">
        <x:f>IF(C400="","",MIN(MAX(0,D400+E400-F400),SUMIFS(SONDERZAHLUNGEN!$E$9:$E$128,SONDERZAHLUNGEN!$B$9:$B$128,C400,SONDERZAHLUNGEN!$C$9:$C$128,A400,SONDERZAHLUNGEN!$H$9:$H$128,"OK",SONDERZAHLUNGEN!$F$9:$F$128,"Ja")))</x:f>
      </x:c>
      <x:c r="H400" s="88" t="str">
        <x:f>IF(C400="","",MIN(MAX(0,D400+E400-F400-G400),MAX(0,IF(MONATSBUDGET!$C$27="",0,MONATSBUDGET!$C$27)-SUM(F400:F419)-0)))</x:f>
      </x:c>
      <x:c r="I400" s="88" t="str">
        <x:f>IF(C400="","",MAX(0,ROUND(D400+E400-F400-G400-H400,2)))</x:f>
      </x:c>
      <x:c r="J400" s="88" t="str">
        <x:f>IF(C400="","",F400+G400+H400)</x:f>
      </x:c>
      <x:c r="K400" s="88" t="str">
        <x:f>IF(C400="","",MAX(0,SUMIFS(SONDERZAHLUNGEN!$E$9:$E$128,SONDERZAHLUNGEN!$B$9:$B$128,C400,SONDERZAHLUNGEN!$C$9:$C$128,A400,SONDERZAHLUNGEN!$H$9:$H$128,"OK",SONDERZAHLUNGEN!$F$9:$F$128,"Ja")-G400))</x:f>
      </x:c>
    </x:row>
    <x:row r="401" ht="19" customHeight="1">
      <x:c r="A401" s="90" t="n">
        <x:f>MONATSBUDGET!$A$27</x:f>
        <x:v>46813</x:v>
      </x:c>
      <x:c r="B401" t="n">
        <x:f>2</x:f>
        <x:v>2</x:v>
      </x:c>
      <x:c r="C401" t="str">
        <x:f>IF($N$10="","",$N$10)</x:f>
      </x:c>
      <x:c r="D401" s="88" t="str">
        <x:f>IF(C401="","",I381)</x:f>
      </x:c>
      <x:c r="E401" s="88" t="str">
        <x:f>IF(C401="","",ROUND(D401*$P$10/12,2))</x:f>
      </x:c>
      <x:c r="F401" s="88" t="str">
        <x:f>IF(C401="","",MIN(D401+E401,$Q$10))</x:f>
      </x:c>
      <x:c r="G401" s="88" t="str">
        <x:f>IF(C401="","",MIN(MAX(0,D401+E401-F401),SUMIFS(SONDERZAHLUNGEN!$E$9:$E$128,SONDERZAHLUNGEN!$B$9:$B$128,C401,SONDERZAHLUNGEN!$C$9:$C$128,A401,SONDERZAHLUNGEN!$H$9:$H$128,"OK",SONDERZAHLUNGEN!$F$9:$F$128,"Ja")))</x:f>
      </x:c>
      <x:c r="H401" s="88" t="str">
        <x:f>IF(C401="","",MIN(MAX(0,D401+E401-F401-G401),MAX(0,IF(MONATSBUDGET!$C$27="",0,MONATSBUDGET!$C$27)-SUM(F400:F419)-SUM(H400:H400))))</x:f>
      </x:c>
      <x:c r="I401" s="88" t="str">
        <x:f>IF(C401="","",MAX(0,ROUND(D401+E401-F401-G401-H401,2)))</x:f>
      </x:c>
      <x:c r="J401" s="88" t="str">
        <x:f>IF(C401="","",F401+G401+H401)</x:f>
      </x:c>
      <x:c r="K401" s="88" t="str">
        <x:f>IF(C401="","",MAX(0,SUMIFS(SONDERZAHLUNGEN!$E$9:$E$128,SONDERZAHLUNGEN!$B$9:$B$128,C401,SONDERZAHLUNGEN!$C$9:$C$128,A401,SONDERZAHLUNGEN!$H$9:$H$128,"OK",SONDERZAHLUNGEN!$F$9:$F$128,"Ja")-G401))</x:f>
      </x:c>
    </x:row>
    <x:row r="402" ht="19" customHeight="1">
      <x:c r="A402" s="90" t="n">
        <x:f>MONATSBUDGET!$A$27</x:f>
        <x:v>46813</x:v>
      </x:c>
      <x:c r="B402" t="n">
        <x:f>3</x:f>
        <x:v>3</x:v>
      </x:c>
      <x:c r="C402" t="str">
        <x:f>IF($N$11="","",$N$11)</x:f>
      </x:c>
      <x:c r="D402" s="88" t="str">
        <x:f>IF(C402="","",I382)</x:f>
      </x:c>
      <x:c r="E402" s="88" t="str">
        <x:f>IF(C402="","",ROUND(D402*$P$11/12,2))</x:f>
      </x:c>
      <x:c r="F402" s="88" t="str">
        <x:f>IF(C402="","",MIN(D402+E402,$Q$11))</x:f>
      </x:c>
      <x:c r="G402" s="88" t="str">
        <x:f>IF(C402="","",MIN(MAX(0,D402+E402-F402),SUMIFS(SONDERZAHLUNGEN!$E$9:$E$128,SONDERZAHLUNGEN!$B$9:$B$128,C402,SONDERZAHLUNGEN!$C$9:$C$128,A402,SONDERZAHLUNGEN!$H$9:$H$128,"OK",SONDERZAHLUNGEN!$F$9:$F$128,"Ja")))</x:f>
      </x:c>
      <x:c r="H402" s="88" t="str">
        <x:f>IF(C402="","",MIN(MAX(0,D402+E402-F402-G402),MAX(0,IF(MONATSBUDGET!$C$27="",0,MONATSBUDGET!$C$27)-SUM(F400:F419)-SUM(H400:H401))))</x:f>
      </x:c>
      <x:c r="I402" s="88" t="str">
        <x:f>IF(C402="","",MAX(0,ROUND(D402+E402-F402-G402-H402,2)))</x:f>
      </x:c>
      <x:c r="J402" s="88" t="str">
        <x:f>IF(C402="","",F402+G402+H402)</x:f>
      </x:c>
      <x:c r="K402" s="88" t="str">
        <x:f>IF(C402="","",MAX(0,SUMIFS(SONDERZAHLUNGEN!$E$9:$E$128,SONDERZAHLUNGEN!$B$9:$B$128,C402,SONDERZAHLUNGEN!$C$9:$C$128,A402,SONDERZAHLUNGEN!$H$9:$H$128,"OK",SONDERZAHLUNGEN!$F$9:$F$128,"Ja")-G402))</x:f>
      </x:c>
    </x:row>
    <x:row r="403" ht="19" customHeight="1">
      <x:c r="A403" s="90" t="n">
        <x:f>MONATSBUDGET!$A$27</x:f>
        <x:v>46813</x:v>
      </x:c>
      <x:c r="B403" t="n">
        <x:f>4</x:f>
        <x:v>4</x:v>
      </x:c>
      <x:c r="C403" t="str">
        <x:f>IF($N$12="","",$N$12)</x:f>
      </x:c>
      <x:c r="D403" s="88" t="str">
        <x:f>IF(C403="","",I383)</x:f>
      </x:c>
      <x:c r="E403" s="88" t="str">
        <x:f>IF(C403="","",ROUND(D403*$P$12/12,2))</x:f>
      </x:c>
      <x:c r="F403" s="88" t="str">
        <x:f>IF(C403="","",MIN(D403+E403,$Q$12))</x:f>
      </x:c>
      <x:c r="G403" s="88" t="str">
        <x:f>IF(C403="","",MIN(MAX(0,D403+E403-F403),SUMIFS(SONDERZAHLUNGEN!$E$9:$E$128,SONDERZAHLUNGEN!$B$9:$B$128,C403,SONDERZAHLUNGEN!$C$9:$C$128,A403,SONDERZAHLUNGEN!$H$9:$H$128,"OK",SONDERZAHLUNGEN!$F$9:$F$128,"Ja")))</x:f>
      </x:c>
      <x:c r="H403" s="88" t="str">
        <x:f>IF(C403="","",MIN(MAX(0,D403+E403-F403-G403),MAX(0,IF(MONATSBUDGET!$C$27="",0,MONATSBUDGET!$C$27)-SUM(F400:F419)-SUM(H400:H402))))</x:f>
      </x:c>
      <x:c r="I403" s="88" t="str">
        <x:f>IF(C403="","",MAX(0,ROUND(D403+E403-F403-G403-H403,2)))</x:f>
      </x:c>
      <x:c r="J403" s="88" t="str">
        <x:f>IF(C403="","",F403+G403+H403)</x:f>
      </x:c>
      <x:c r="K403" s="88" t="str">
        <x:f>IF(C403="","",MAX(0,SUMIFS(SONDERZAHLUNGEN!$E$9:$E$128,SONDERZAHLUNGEN!$B$9:$B$128,C403,SONDERZAHLUNGEN!$C$9:$C$128,A403,SONDERZAHLUNGEN!$H$9:$H$128,"OK",SONDERZAHLUNGEN!$F$9:$F$128,"Ja")-G403))</x:f>
      </x:c>
    </x:row>
    <x:row r="404" ht="19" customHeight="1">
      <x:c r="A404" s="90" t="n">
        <x:f>MONATSBUDGET!$A$27</x:f>
        <x:v>46813</x:v>
      </x:c>
      <x:c r="B404" t="n">
        <x:f>5</x:f>
        <x:v>5</x:v>
      </x:c>
      <x:c r="C404" t="str">
        <x:f>IF($N$13="","",$N$13)</x:f>
      </x:c>
      <x:c r="D404" s="88" t="str">
        <x:f>IF(C404="","",I384)</x:f>
      </x:c>
      <x:c r="E404" s="88" t="str">
        <x:f>IF(C404="","",ROUND(D404*$P$13/12,2))</x:f>
      </x:c>
      <x:c r="F404" s="88" t="str">
        <x:f>IF(C404="","",MIN(D404+E404,$Q$13))</x:f>
      </x:c>
      <x:c r="G404" s="88" t="str">
        <x:f>IF(C404="","",MIN(MAX(0,D404+E404-F404),SUMIFS(SONDERZAHLUNGEN!$E$9:$E$128,SONDERZAHLUNGEN!$B$9:$B$128,C404,SONDERZAHLUNGEN!$C$9:$C$128,A404,SONDERZAHLUNGEN!$H$9:$H$128,"OK",SONDERZAHLUNGEN!$F$9:$F$128,"Ja")))</x:f>
      </x:c>
      <x:c r="H404" s="88" t="str">
        <x:f>IF(C404="","",MIN(MAX(0,D404+E404-F404-G404),MAX(0,IF(MONATSBUDGET!$C$27="",0,MONATSBUDGET!$C$27)-SUM(F400:F419)-SUM(H400:H403))))</x:f>
      </x:c>
      <x:c r="I404" s="88" t="str">
        <x:f>IF(C404="","",MAX(0,ROUND(D404+E404-F404-G404-H404,2)))</x:f>
      </x:c>
      <x:c r="J404" s="88" t="str">
        <x:f>IF(C404="","",F404+G404+H404)</x:f>
      </x:c>
      <x:c r="K404" s="88" t="str">
        <x:f>IF(C404="","",MAX(0,SUMIFS(SONDERZAHLUNGEN!$E$9:$E$128,SONDERZAHLUNGEN!$B$9:$B$128,C404,SONDERZAHLUNGEN!$C$9:$C$128,A404,SONDERZAHLUNGEN!$H$9:$H$128,"OK",SONDERZAHLUNGEN!$F$9:$F$128,"Ja")-G404))</x:f>
      </x:c>
    </x:row>
    <x:row r="405" ht="19" customHeight="1">
      <x:c r="A405" s="90" t="n">
        <x:f>MONATSBUDGET!$A$27</x:f>
        <x:v>46813</x:v>
      </x:c>
      <x:c r="B405" t="n">
        <x:f>6</x:f>
        <x:v>6</x:v>
      </x:c>
      <x:c r="C405" t="str">
        <x:f>IF($N$14="","",$N$14)</x:f>
      </x:c>
      <x:c r="D405" s="88" t="str">
        <x:f>IF(C405="","",I385)</x:f>
      </x:c>
      <x:c r="E405" s="88" t="str">
        <x:f>IF(C405="","",ROUND(D405*$P$14/12,2))</x:f>
      </x:c>
      <x:c r="F405" s="88" t="str">
        <x:f>IF(C405="","",MIN(D405+E405,$Q$14))</x:f>
      </x:c>
      <x:c r="G405" s="88" t="str">
        <x:f>IF(C405="","",MIN(MAX(0,D405+E405-F405),SUMIFS(SONDERZAHLUNGEN!$E$9:$E$128,SONDERZAHLUNGEN!$B$9:$B$128,C405,SONDERZAHLUNGEN!$C$9:$C$128,A405,SONDERZAHLUNGEN!$H$9:$H$128,"OK",SONDERZAHLUNGEN!$F$9:$F$128,"Ja")))</x:f>
      </x:c>
      <x:c r="H405" s="88" t="str">
        <x:f>IF(C405="","",MIN(MAX(0,D405+E405-F405-G405),MAX(0,IF(MONATSBUDGET!$C$27="",0,MONATSBUDGET!$C$27)-SUM(F400:F419)-SUM(H400:H404))))</x:f>
      </x:c>
      <x:c r="I405" s="88" t="str">
        <x:f>IF(C405="","",MAX(0,ROUND(D405+E405-F405-G405-H405,2)))</x:f>
      </x:c>
      <x:c r="J405" s="88" t="str">
        <x:f>IF(C405="","",F405+G405+H405)</x:f>
      </x:c>
      <x:c r="K405" s="88" t="str">
        <x:f>IF(C405="","",MAX(0,SUMIFS(SONDERZAHLUNGEN!$E$9:$E$128,SONDERZAHLUNGEN!$B$9:$B$128,C405,SONDERZAHLUNGEN!$C$9:$C$128,A405,SONDERZAHLUNGEN!$H$9:$H$128,"OK",SONDERZAHLUNGEN!$F$9:$F$128,"Ja")-G405))</x:f>
      </x:c>
    </x:row>
    <x:row r="406" ht="19" customHeight="1">
      <x:c r="A406" s="90" t="n">
        <x:f>MONATSBUDGET!$A$27</x:f>
        <x:v>46813</x:v>
      </x:c>
      <x:c r="B406" t="n">
        <x:f>7</x:f>
        <x:v>7</x:v>
      </x:c>
      <x:c r="C406" t="str">
        <x:f>IF($N$15="","",$N$15)</x:f>
      </x:c>
      <x:c r="D406" s="88" t="str">
        <x:f>IF(C406="","",I386)</x:f>
      </x:c>
      <x:c r="E406" s="88" t="str">
        <x:f>IF(C406="","",ROUND(D406*$P$15/12,2))</x:f>
      </x:c>
      <x:c r="F406" s="88" t="str">
        <x:f>IF(C406="","",MIN(D406+E406,$Q$15))</x:f>
      </x:c>
      <x:c r="G406" s="88" t="str">
        <x:f>IF(C406="","",MIN(MAX(0,D406+E406-F406),SUMIFS(SONDERZAHLUNGEN!$E$9:$E$128,SONDERZAHLUNGEN!$B$9:$B$128,C406,SONDERZAHLUNGEN!$C$9:$C$128,A406,SONDERZAHLUNGEN!$H$9:$H$128,"OK",SONDERZAHLUNGEN!$F$9:$F$128,"Ja")))</x:f>
      </x:c>
      <x:c r="H406" s="88" t="str">
        <x:f>IF(C406="","",MIN(MAX(0,D406+E406-F406-G406),MAX(0,IF(MONATSBUDGET!$C$27="",0,MONATSBUDGET!$C$27)-SUM(F400:F419)-SUM(H400:H405))))</x:f>
      </x:c>
      <x:c r="I406" s="88" t="str">
        <x:f>IF(C406="","",MAX(0,ROUND(D406+E406-F406-G406-H406,2)))</x:f>
      </x:c>
      <x:c r="J406" s="88" t="str">
        <x:f>IF(C406="","",F406+G406+H406)</x:f>
      </x:c>
      <x:c r="K406" s="88" t="str">
        <x:f>IF(C406="","",MAX(0,SUMIFS(SONDERZAHLUNGEN!$E$9:$E$128,SONDERZAHLUNGEN!$B$9:$B$128,C406,SONDERZAHLUNGEN!$C$9:$C$128,A406,SONDERZAHLUNGEN!$H$9:$H$128,"OK",SONDERZAHLUNGEN!$F$9:$F$128,"Ja")-G406))</x:f>
      </x:c>
    </x:row>
    <x:row r="407" ht="19" customHeight="1">
      <x:c r="A407" s="90" t="n">
        <x:f>MONATSBUDGET!$A$27</x:f>
        <x:v>46813</x:v>
      </x:c>
      <x:c r="B407" t="n">
        <x:f>8</x:f>
        <x:v>8</x:v>
      </x:c>
      <x:c r="C407" t="str">
        <x:f>IF($N$16="","",$N$16)</x:f>
      </x:c>
      <x:c r="D407" s="88" t="str">
        <x:f>IF(C407="","",I387)</x:f>
      </x:c>
      <x:c r="E407" s="88" t="str">
        <x:f>IF(C407="","",ROUND(D407*$P$16/12,2))</x:f>
      </x:c>
      <x:c r="F407" s="88" t="str">
        <x:f>IF(C407="","",MIN(D407+E407,$Q$16))</x:f>
      </x:c>
      <x:c r="G407" s="88" t="str">
        <x:f>IF(C407="","",MIN(MAX(0,D407+E407-F407),SUMIFS(SONDERZAHLUNGEN!$E$9:$E$128,SONDERZAHLUNGEN!$B$9:$B$128,C407,SONDERZAHLUNGEN!$C$9:$C$128,A407,SONDERZAHLUNGEN!$H$9:$H$128,"OK",SONDERZAHLUNGEN!$F$9:$F$128,"Ja")))</x:f>
      </x:c>
      <x:c r="H407" s="88" t="str">
        <x:f>IF(C407="","",MIN(MAX(0,D407+E407-F407-G407),MAX(0,IF(MONATSBUDGET!$C$27="",0,MONATSBUDGET!$C$27)-SUM(F400:F419)-SUM(H400:H406))))</x:f>
      </x:c>
      <x:c r="I407" s="88" t="str">
        <x:f>IF(C407="","",MAX(0,ROUND(D407+E407-F407-G407-H407,2)))</x:f>
      </x:c>
      <x:c r="J407" s="88" t="str">
        <x:f>IF(C407="","",F407+G407+H407)</x:f>
      </x:c>
      <x:c r="K407" s="88" t="str">
        <x:f>IF(C407="","",MAX(0,SUMIFS(SONDERZAHLUNGEN!$E$9:$E$128,SONDERZAHLUNGEN!$B$9:$B$128,C407,SONDERZAHLUNGEN!$C$9:$C$128,A407,SONDERZAHLUNGEN!$H$9:$H$128,"OK",SONDERZAHLUNGEN!$F$9:$F$128,"Ja")-G407))</x:f>
      </x:c>
    </x:row>
    <x:row r="408" ht="19" customHeight="1">
      <x:c r="A408" s="90" t="n">
        <x:f>MONATSBUDGET!$A$27</x:f>
        <x:v>46813</x:v>
      </x:c>
      <x:c r="B408" t="n">
        <x:f>9</x:f>
        <x:v>9</x:v>
      </x:c>
      <x:c r="C408" t="str">
        <x:f>IF($N$17="","",$N$17)</x:f>
      </x:c>
      <x:c r="D408" s="88" t="str">
        <x:f>IF(C408="","",I388)</x:f>
      </x:c>
      <x:c r="E408" s="88" t="str">
        <x:f>IF(C408="","",ROUND(D408*$P$17/12,2))</x:f>
      </x:c>
      <x:c r="F408" s="88" t="str">
        <x:f>IF(C408="","",MIN(D408+E408,$Q$17))</x:f>
      </x:c>
      <x:c r="G408" s="88" t="str">
        <x:f>IF(C408="","",MIN(MAX(0,D408+E408-F408),SUMIFS(SONDERZAHLUNGEN!$E$9:$E$128,SONDERZAHLUNGEN!$B$9:$B$128,C408,SONDERZAHLUNGEN!$C$9:$C$128,A408,SONDERZAHLUNGEN!$H$9:$H$128,"OK",SONDERZAHLUNGEN!$F$9:$F$128,"Ja")))</x:f>
      </x:c>
      <x:c r="H408" s="88" t="str">
        <x:f>IF(C408="","",MIN(MAX(0,D408+E408-F408-G408),MAX(0,IF(MONATSBUDGET!$C$27="",0,MONATSBUDGET!$C$27)-SUM(F400:F419)-SUM(H400:H407))))</x:f>
      </x:c>
      <x:c r="I408" s="88" t="str">
        <x:f>IF(C408="","",MAX(0,ROUND(D408+E408-F408-G408-H408,2)))</x:f>
      </x:c>
      <x:c r="J408" s="88" t="str">
        <x:f>IF(C408="","",F408+G408+H408)</x:f>
      </x:c>
      <x:c r="K408" s="88" t="str">
        <x:f>IF(C408="","",MAX(0,SUMIFS(SONDERZAHLUNGEN!$E$9:$E$128,SONDERZAHLUNGEN!$B$9:$B$128,C408,SONDERZAHLUNGEN!$C$9:$C$128,A408,SONDERZAHLUNGEN!$H$9:$H$128,"OK",SONDERZAHLUNGEN!$F$9:$F$128,"Ja")-G408))</x:f>
      </x:c>
    </x:row>
    <x:row r="409" ht="19" customHeight="1">
      <x:c r="A409" s="90" t="n">
        <x:f>MONATSBUDGET!$A$27</x:f>
        <x:v>46813</x:v>
      </x:c>
      <x:c r="B409" t="n">
        <x:f>10</x:f>
        <x:v>10</x:v>
      </x:c>
      <x:c r="C409" t="str">
        <x:f>IF($N$18="","",$N$18)</x:f>
      </x:c>
      <x:c r="D409" s="88" t="str">
        <x:f>IF(C409="","",I389)</x:f>
      </x:c>
      <x:c r="E409" s="88" t="str">
        <x:f>IF(C409="","",ROUND(D409*$P$18/12,2))</x:f>
      </x:c>
      <x:c r="F409" s="88" t="str">
        <x:f>IF(C409="","",MIN(D409+E409,$Q$18))</x:f>
      </x:c>
      <x:c r="G409" s="88" t="str">
        <x:f>IF(C409="","",MIN(MAX(0,D409+E409-F409),SUMIFS(SONDERZAHLUNGEN!$E$9:$E$128,SONDERZAHLUNGEN!$B$9:$B$128,C409,SONDERZAHLUNGEN!$C$9:$C$128,A409,SONDERZAHLUNGEN!$H$9:$H$128,"OK",SONDERZAHLUNGEN!$F$9:$F$128,"Ja")))</x:f>
      </x:c>
      <x:c r="H409" s="88" t="str">
        <x:f>IF(C409="","",MIN(MAX(0,D409+E409-F409-G409),MAX(0,IF(MONATSBUDGET!$C$27="",0,MONATSBUDGET!$C$27)-SUM(F400:F419)-SUM(H400:H408))))</x:f>
      </x:c>
      <x:c r="I409" s="88" t="str">
        <x:f>IF(C409="","",MAX(0,ROUND(D409+E409-F409-G409-H409,2)))</x:f>
      </x:c>
      <x:c r="J409" s="88" t="str">
        <x:f>IF(C409="","",F409+G409+H409)</x:f>
      </x:c>
      <x:c r="K409" s="88" t="str">
        <x:f>IF(C409="","",MAX(0,SUMIFS(SONDERZAHLUNGEN!$E$9:$E$128,SONDERZAHLUNGEN!$B$9:$B$128,C409,SONDERZAHLUNGEN!$C$9:$C$128,A409,SONDERZAHLUNGEN!$H$9:$H$128,"OK",SONDERZAHLUNGEN!$F$9:$F$128,"Ja")-G409))</x:f>
      </x:c>
    </x:row>
    <x:row r="410" ht="19" customHeight="1">
      <x:c r="A410" s="90" t="n">
        <x:f>MONATSBUDGET!$A$27</x:f>
        <x:v>46813</x:v>
      </x:c>
      <x:c r="B410" t="n">
        <x:f>11</x:f>
        <x:v>11</x:v>
      </x:c>
      <x:c r="C410" t="str">
        <x:f>IF($N$19="","",$N$19)</x:f>
      </x:c>
      <x:c r="D410" s="88" t="str">
        <x:f>IF(C410="","",I390)</x:f>
      </x:c>
      <x:c r="E410" s="88" t="str">
        <x:f>IF(C410="","",ROUND(D410*$P$19/12,2))</x:f>
      </x:c>
      <x:c r="F410" s="88" t="str">
        <x:f>IF(C410="","",MIN(D410+E410,$Q$19))</x:f>
      </x:c>
      <x:c r="G410" s="88" t="str">
        <x:f>IF(C410="","",MIN(MAX(0,D410+E410-F410),SUMIFS(SONDERZAHLUNGEN!$E$9:$E$128,SONDERZAHLUNGEN!$B$9:$B$128,C410,SONDERZAHLUNGEN!$C$9:$C$128,A410,SONDERZAHLUNGEN!$H$9:$H$128,"OK",SONDERZAHLUNGEN!$F$9:$F$128,"Ja")))</x:f>
      </x:c>
      <x:c r="H410" s="88" t="str">
        <x:f>IF(C410="","",MIN(MAX(0,D410+E410-F410-G410),MAX(0,IF(MONATSBUDGET!$C$27="",0,MONATSBUDGET!$C$27)-SUM(F400:F419)-SUM(H400:H409))))</x:f>
      </x:c>
      <x:c r="I410" s="88" t="str">
        <x:f>IF(C410="","",MAX(0,ROUND(D410+E410-F410-G410-H410,2)))</x:f>
      </x:c>
      <x:c r="J410" s="88" t="str">
        <x:f>IF(C410="","",F410+G410+H410)</x:f>
      </x:c>
      <x:c r="K410" s="88" t="str">
        <x:f>IF(C410="","",MAX(0,SUMIFS(SONDERZAHLUNGEN!$E$9:$E$128,SONDERZAHLUNGEN!$B$9:$B$128,C410,SONDERZAHLUNGEN!$C$9:$C$128,A410,SONDERZAHLUNGEN!$H$9:$H$128,"OK",SONDERZAHLUNGEN!$F$9:$F$128,"Ja")-G410))</x:f>
      </x:c>
    </x:row>
    <x:row r="411" ht="19" customHeight="1">
      <x:c r="A411" s="90" t="n">
        <x:f>MONATSBUDGET!$A$27</x:f>
        <x:v>46813</x:v>
      </x:c>
      <x:c r="B411" t="n">
        <x:f>12</x:f>
        <x:v>12</x:v>
      </x:c>
      <x:c r="C411" t="str">
        <x:f>IF($N$20="","",$N$20)</x:f>
      </x:c>
      <x:c r="D411" s="88" t="str">
        <x:f>IF(C411="","",I391)</x:f>
      </x:c>
      <x:c r="E411" s="88" t="str">
        <x:f>IF(C411="","",ROUND(D411*$P$20/12,2))</x:f>
      </x:c>
      <x:c r="F411" s="88" t="str">
        <x:f>IF(C411="","",MIN(D411+E411,$Q$20))</x:f>
      </x:c>
      <x:c r="G411" s="88" t="str">
        <x:f>IF(C411="","",MIN(MAX(0,D411+E411-F411),SUMIFS(SONDERZAHLUNGEN!$E$9:$E$128,SONDERZAHLUNGEN!$B$9:$B$128,C411,SONDERZAHLUNGEN!$C$9:$C$128,A411,SONDERZAHLUNGEN!$H$9:$H$128,"OK",SONDERZAHLUNGEN!$F$9:$F$128,"Ja")))</x:f>
      </x:c>
      <x:c r="H411" s="88" t="str">
        <x:f>IF(C411="","",MIN(MAX(0,D411+E411-F411-G411),MAX(0,IF(MONATSBUDGET!$C$27="",0,MONATSBUDGET!$C$27)-SUM(F400:F419)-SUM(H400:H410))))</x:f>
      </x:c>
      <x:c r="I411" s="88" t="str">
        <x:f>IF(C411="","",MAX(0,ROUND(D411+E411-F411-G411-H411,2)))</x:f>
      </x:c>
      <x:c r="J411" s="88" t="str">
        <x:f>IF(C411="","",F411+G411+H411)</x:f>
      </x:c>
      <x:c r="K411" s="88" t="str">
        <x:f>IF(C411="","",MAX(0,SUMIFS(SONDERZAHLUNGEN!$E$9:$E$128,SONDERZAHLUNGEN!$B$9:$B$128,C411,SONDERZAHLUNGEN!$C$9:$C$128,A411,SONDERZAHLUNGEN!$H$9:$H$128,"OK",SONDERZAHLUNGEN!$F$9:$F$128,"Ja")-G411))</x:f>
      </x:c>
    </x:row>
    <x:row r="412" ht="19" customHeight="1">
      <x:c r="A412" s="90" t="n">
        <x:f>MONATSBUDGET!$A$27</x:f>
        <x:v>46813</x:v>
      </x:c>
      <x:c r="B412" t="n">
        <x:f>13</x:f>
        <x:v>13</x:v>
      </x:c>
      <x:c r="C412" t="str">
        <x:f>IF($N$21="","",$N$21)</x:f>
      </x:c>
      <x:c r="D412" s="88" t="str">
        <x:f>IF(C412="","",I392)</x:f>
      </x:c>
      <x:c r="E412" s="88" t="str">
        <x:f>IF(C412="","",ROUND(D412*$P$21/12,2))</x:f>
      </x:c>
      <x:c r="F412" s="88" t="str">
        <x:f>IF(C412="","",MIN(D412+E412,$Q$21))</x:f>
      </x:c>
      <x:c r="G412" s="88" t="str">
        <x:f>IF(C412="","",MIN(MAX(0,D412+E412-F412),SUMIFS(SONDERZAHLUNGEN!$E$9:$E$128,SONDERZAHLUNGEN!$B$9:$B$128,C412,SONDERZAHLUNGEN!$C$9:$C$128,A412,SONDERZAHLUNGEN!$H$9:$H$128,"OK",SONDERZAHLUNGEN!$F$9:$F$128,"Ja")))</x:f>
      </x:c>
      <x:c r="H412" s="88" t="str">
        <x:f>IF(C412="","",MIN(MAX(0,D412+E412-F412-G412),MAX(0,IF(MONATSBUDGET!$C$27="",0,MONATSBUDGET!$C$27)-SUM(F400:F419)-SUM(H400:H411))))</x:f>
      </x:c>
      <x:c r="I412" s="88" t="str">
        <x:f>IF(C412="","",MAX(0,ROUND(D412+E412-F412-G412-H412,2)))</x:f>
      </x:c>
      <x:c r="J412" s="88" t="str">
        <x:f>IF(C412="","",F412+G412+H412)</x:f>
      </x:c>
      <x:c r="K412" s="88" t="str">
        <x:f>IF(C412="","",MAX(0,SUMIFS(SONDERZAHLUNGEN!$E$9:$E$128,SONDERZAHLUNGEN!$B$9:$B$128,C412,SONDERZAHLUNGEN!$C$9:$C$128,A412,SONDERZAHLUNGEN!$H$9:$H$128,"OK",SONDERZAHLUNGEN!$F$9:$F$128,"Ja")-G412))</x:f>
      </x:c>
    </x:row>
    <x:row r="413" ht="19" customHeight="1">
      <x:c r="A413" s="90" t="n">
        <x:f>MONATSBUDGET!$A$27</x:f>
        <x:v>46813</x:v>
      </x:c>
      <x:c r="B413" t="n">
        <x:f>14</x:f>
        <x:v>14</x:v>
      </x:c>
      <x:c r="C413" t="str">
        <x:f>IF($N$22="","",$N$22)</x:f>
      </x:c>
      <x:c r="D413" s="88" t="str">
        <x:f>IF(C413="","",I393)</x:f>
      </x:c>
      <x:c r="E413" s="88" t="str">
        <x:f>IF(C413="","",ROUND(D413*$P$22/12,2))</x:f>
      </x:c>
      <x:c r="F413" s="88" t="str">
        <x:f>IF(C413="","",MIN(D413+E413,$Q$22))</x:f>
      </x:c>
      <x:c r="G413" s="88" t="str">
        <x:f>IF(C413="","",MIN(MAX(0,D413+E413-F413),SUMIFS(SONDERZAHLUNGEN!$E$9:$E$128,SONDERZAHLUNGEN!$B$9:$B$128,C413,SONDERZAHLUNGEN!$C$9:$C$128,A413,SONDERZAHLUNGEN!$H$9:$H$128,"OK",SONDERZAHLUNGEN!$F$9:$F$128,"Ja")))</x:f>
      </x:c>
      <x:c r="H413" s="88" t="str">
        <x:f>IF(C413="","",MIN(MAX(0,D413+E413-F413-G413),MAX(0,IF(MONATSBUDGET!$C$27="",0,MONATSBUDGET!$C$27)-SUM(F400:F419)-SUM(H400:H412))))</x:f>
      </x:c>
      <x:c r="I413" s="88" t="str">
        <x:f>IF(C413="","",MAX(0,ROUND(D413+E413-F413-G413-H413,2)))</x:f>
      </x:c>
      <x:c r="J413" s="88" t="str">
        <x:f>IF(C413="","",F413+G413+H413)</x:f>
      </x:c>
      <x:c r="K413" s="88" t="str">
        <x:f>IF(C413="","",MAX(0,SUMIFS(SONDERZAHLUNGEN!$E$9:$E$128,SONDERZAHLUNGEN!$B$9:$B$128,C413,SONDERZAHLUNGEN!$C$9:$C$128,A413,SONDERZAHLUNGEN!$H$9:$H$128,"OK",SONDERZAHLUNGEN!$F$9:$F$128,"Ja")-G413))</x:f>
      </x:c>
    </x:row>
    <x:row r="414" ht="19" customHeight="1">
      <x:c r="A414" s="90" t="n">
        <x:f>MONATSBUDGET!$A$27</x:f>
        <x:v>46813</x:v>
      </x:c>
      <x:c r="B414" t="n">
        <x:f>15</x:f>
        <x:v>15</x:v>
      </x:c>
      <x:c r="C414" t="str">
        <x:f>IF($N$23="","",$N$23)</x:f>
      </x:c>
      <x:c r="D414" s="88" t="str">
        <x:f>IF(C414="","",I394)</x:f>
      </x:c>
      <x:c r="E414" s="88" t="str">
        <x:f>IF(C414="","",ROUND(D414*$P$23/12,2))</x:f>
      </x:c>
      <x:c r="F414" s="88" t="str">
        <x:f>IF(C414="","",MIN(D414+E414,$Q$23))</x:f>
      </x:c>
      <x:c r="G414" s="88" t="str">
        <x:f>IF(C414="","",MIN(MAX(0,D414+E414-F414),SUMIFS(SONDERZAHLUNGEN!$E$9:$E$128,SONDERZAHLUNGEN!$B$9:$B$128,C414,SONDERZAHLUNGEN!$C$9:$C$128,A414,SONDERZAHLUNGEN!$H$9:$H$128,"OK",SONDERZAHLUNGEN!$F$9:$F$128,"Ja")))</x:f>
      </x:c>
      <x:c r="H414" s="88" t="str">
        <x:f>IF(C414="","",MIN(MAX(0,D414+E414-F414-G414),MAX(0,IF(MONATSBUDGET!$C$27="",0,MONATSBUDGET!$C$27)-SUM(F400:F419)-SUM(H400:H413))))</x:f>
      </x:c>
      <x:c r="I414" s="88" t="str">
        <x:f>IF(C414="","",MAX(0,ROUND(D414+E414-F414-G414-H414,2)))</x:f>
      </x:c>
      <x:c r="J414" s="88" t="str">
        <x:f>IF(C414="","",F414+G414+H414)</x:f>
      </x:c>
      <x:c r="K414" s="88" t="str">
        <x:f>IF(C414="","",MAX(0,SUMIFS(SONDERZAHLUNGEN!$E$9:$E$128,SONDERZAHLUNGEN!$B$9:$B$128,C414,SONDERZAHLUNGEN!$C$9:$C$128,A414,SONDERZAHLUNGEN!$H$9:$H$128,"OK",SONDERZAHLUNGEN!$F$9:$F$128,"Ja")-G414))</x:f>
      </x:c>
    </x:row>
    <x:row r="415" ht="19" customHeight="1">
      <x:c r="A415" s="90" t="n">
        <x:f>MONATSBUDGET!$A$27</x:f>
        <x:v>46813</x:v>
      </x:c>
      <x:c r="B415" t="n">
        <x:f>16</x:f>
        <x:v>16</x:v>
      </x:c>
      <x:c r="C415" t="str">
        <x:f>IF($N$24="","",$N$24)</x:f>
      </x:c>
      <x:c r="D415" s="88" t="str">
        <x:f>IF(C415="","",I395)</x:f>
      </x:c>
      <x:c r="E415" s="88" t="str">
        <x:f>IF(C415="","",ROUND(D415*$P$24/12,2))</x:f>
      </x:c>
      <x:c r="F415" s="88" t="str">
        <x:f>IF(C415="","",MIN(D415+E415,$Q$24))</x:f>
      </x:c>
      <x:c r="G415" s="88" t="str">
        <x:f>IF(C415="","",MIN(MAX(0,D415+E415-F415),SUMIFS(SONDERZAHLUNGEN!$E$9:$E$128,SONDERZAHLUNGEN!$B$9:$B$128,C415,SONDERZAHLUNGEN!$C$9:$C$128,A415,SONDERZAHLUNGEN!$H$9:$H$128,"OK",SONDERZAHLUNGEN!$F$9:$F$128,"Ja")))</x:f>
      </x:c>
      <x:c r="H415" s="88" t="str">
        <x:f>IF(C415="","",MIN(MAX(0,D415+E415-F415-G415),MAX(0,IF(MONATSBUDGET!$C$27="",0,MONATSBUDGET!$C$27)-SUM(F400:F419)-SUM(H400:H414))))</x:f>
      </x:c>
      <x:c r="I415" s="88" t="str">
        <x:f>IF(C415="","",MAX(0,ROUND(D415+E415-F415-G415-H415,2)))</x:f>
      </x:c>
      <x:c r="J415" s="88" t="str">
        <x:f>IF(C415="","",F415+G415+H415)</x:f>
      </x:c>
      <x:c r="K415" s="88" t="str">
        <x:f>IF(C415="","",MAX(0,SUMIFS(SONDERZAHLUNGEN!$E$9:$E$128,SONDERZAHLUNGEN!$B$9:$B$128,C415,SONDERZAHLUNGEN!$C$9:$C$128,A415,SONDERZAHLUNGEN!$H$9:$H$128,"OK",SONDERZAHLUNGEN!$F$9:$F$128,"Ja")-G415))</x:f>
      </x:c>
    </x:row>
    <x:row r="416" ht="19" customHeight="1">
      <x:c r="A416" s="90" t="n">
        <x:f>MONATSBUDGET!$A$27</x:f>
        <x:v>46813</x:v>
      </x:c>
      <x:c r="B416" t="n">
        <x:f>17</x:f>
        <x:v>17</x:v>
      </x:c>
      <x:c r="C416" t="str">
        <x:f>IF($N$25="","",$N$25)</x:f>
      </x:c>
      <x:c r="D416" s="88" t="str">
        <x:f>IF(C416="","",I396)</x:f>
      </x:c>
      <x:c r="E416" s="88" t="str">
        <x:f>IF(C416="","",ROUND(D416*$P$25/12,2))</x:f>
      </x:c>
      <x:c r="F416" s="88" t="str">
        <x:f>IF(C416="","",MIN(D416+E416,$Q$25))</x:f>
      </x:c>
      <x:c r="G416" s="88" t="str">
        <x:f>IF(C416="","",MIN(MAX(0,D416+E416-F416),SUMIFS(SONDERZAHLUNGEN!$E$9:$E$128,SONDERZAHLUNGEN!$B$9:$B$128,C416,SONDERZAHLUNGEN!$C$9:$C$128,A416,SONDERZAHLUNGEN!$H$9:$H$128,"OK",SONDERZAHLUNGEN!$F$9:$F$128,"Ja")))</x:f>
      </x:c>
      <x:c r="H416" s="88" t="str">
        <x:f>IF(C416="","",MIN(MAX(0,D416+E416-F416-G416),MAX(0,IF(MONATSBUDGET!$C$27="",0,MONATSBUDGET!$C$27)-SUM(F400:F419)-SUM(H400:H415))))</x:f>
      </x:c>
      <x:c r="I416" s="88" t="str">
        <x:f>IF(C416="","",MAX(0,ROUND(D416+E416-F416-G416-H416,2)))</x:f>
      </x:c>
      <x:c r="J416" s="88" t="str">
        <x:f>IF(C416="","",F416+G416+H416)</x:f>
      </x:c>
      <x:c r="K416" s="88" t="str">
        <x:f>IF(C416="","",MAX(0,SUMIFS(SONDERZAHLUNGEN!$E$9:$E$128,SONDERZAHLUNGEN!$B$9:$B$128,C416,SONDERZAHLUNGEN!$C$9:$C$128,A416,SONDERZAHLUNGEN!$H$9:$H$128,"OK",SONDERZAHLUNGEN!$F$9:$F$128,"Ja")-G416))</x:f>
      </x:c>
    </x:row>
    <x:row r="417" ht="19" customHeight="1">
      <x:c r="A417" s="90" t="n">
        <x:f>MONATSBUDGET!$A$27</x:f>
        <x:v>46813</x:v>
      </x:c>
      <x:c r="B417" t="n">
        <x:f>18</x:f>
        <x:v>18</x:v>
      </x:c>
      <x:c r="C417" t="str">
        <x:f>IF($N$26="","",$N$26)</x:f>
      </x:c>
      <x:c r="D417" s="88" t="str">
        <x:f>IF(C417="","",I397)</x:f>
      </x:c>
      <x:c r="E417" s="88" t="str">
        <x:f>IF(C417="","",ROUND(D417*$P$26/12,2))</x:f>
      </x:c>
      <x:c r="F417" s="88" t="str">
        <x:f>IF(C417="","",MIN(D417+E417,$Q$26))</x:f>
      </x:c>
      <x:c r="G417" s="88" t="str">
        <x:f>IF(C417="","",MIN(MAX(0,D417+E417-F417),SUMIFS(SONDERZAHLUNGEN!$E$9:$E$128,SONDERZAHLUNGEN!$B$9:$B$128,C417,SONDERZAHLUNGEN!$C$9:$C$128,A417,SONDERZAHLUNGEN!$H$9:$H$128,"OK",SONDERZAHLUNGEN!$F$9:$F$128,"Ja")))</x:f>
      </x:c>
      <x:c r="H417" s="88" t="str">
        <x:f>IF(C417="","",MIN(MAX(0,D417+E417-F417-G417),MAX(0,IF(MONATSBUDGET!$C$27="",0,MONATSBUDGET!$C$27)-SUM(F400:F419)-SUM(H400:H416))))</x:f>
      </x:c>
      <x:c r="I417" s="88" t="str">
        <x:f>IF(C417="","",MAX(0,ROUND(D417+E417-F417-G417-H417,2)))</x:f>
      </x:c>
      <x:c r="J417" s="88" t="str">
        <x:f>IF(C417="","",F417+G417+H417)</x:f>
      </x:c>
      <x:c r="K417" s="88" t="str">
        <x:f>IF(C417="","",MAX(0,SUMIFS(SONDERZAHLUNGEN!$E$9:$E$128,SONDERZAHLUNGEN!$B$9:$B$128,C417,SONDERZAHLUNGEN!$C$9:$C$128,A417,SONDERZAHLUNGEN!$H$9:$H$128,"OK",SONDERZAHLUNGEN!$F$9:$F$128,"Ja")-G417))</x:f>
      </x:c>
    </x:row>
    <x:row r="418" ht="19" customHeight="1">
      <x:c r="A418" s="90" t="n">
        <x:f>MONATSBUDGET!$A$27</x:f>
        <x:v>46813</x:v>
      </x:c>
      <x:c r="B418" t="n">
        <x:f>19</x:f>
        <x:v>19</x:v>
      </x:c>
      <x:c r="C418" t="str">
        <x:f>IF($N$27="","",$N$27)</x:f>
      </x:c>
      <x:c r="D418" s="88" t="str">
        <x:f>IF(C418="","",I398)</x:f>
      </x:c>
      <x:c r="E418" s="88" t="str">
        <x:f>IF(C418="","",ROUND(D418*$P$27/12,2))</x:f>
      </x:c>
      <x:c r="F418" s="88" t="str">
        <x:f>IF(C418="","",MIN(D418+E418,$Q$27))</x:f>
      </x:c>
      <x:c r="G418" s="88" t="str">
        <x:f>IF(C418="","",MIN(MAX(0,D418+E418-F418),SUMIFS(SONDERZAHLUNGEN!$E$9:$E$128,SONDERZAHLUNGEN!$B$9:$B$128,C418,SONDERZAHLUNGEN!$C$9:$C$128,A418,SONDERZAHLUNGEN!$H$9:$H$128,"OK",SONDERZAHLUNGEN!$F$9:$F$128,"Ja")))</x:f>
      </x:c>
      <x:c r="H418" s="88" t="str">
        <x:f>IF(C418="","",MIN(MAX(0,D418+E418-F418-G418),MAX(0,IF(MONATSBUDGET!$C$27="",0,MONATSBUDGET!$C$27)-SUM(F400:F419)-SUM(H400:H417))))</x:f>
      </x:c>
      <x:c r="I418" s="88" t="str">
        <x:f>IF(C418="","",MAX(0,ROUND(D418+E418-F418-G418-H418,2)))</x:f>
      </x:c>
      <x:c r="J418" s="88" t="str">
        <x:f>IF(C418="","",F418+G418+H418)</x:f>
      </x:c>
      <x:c r="K418" s="88" t="str">
        <x:f>IF(C418="","",MAX(0,SUMIFS(SONDERZAHLUNGEN!$E$9:$E$128,SONDERZAHLUNGEN!$B$9:$B$128,C418,SONDERZAHLUNGEN!$C$9:$C$128,A418,SONDERZAHLUNGEN!$H$9:$H$128,"OK",SONDERZAHLUNGEN!$F$9:$F$128,"Ja")-G418))</x:f>
      </x:c>
    </x:row>
    <x:row r="419" ht="19" customHeight="1">
      <x:c r="A419" s="90" t="n">
        <x:f>MONATSBUDGET!$A$27</x:f>
        <x:v>46813</x:v>
      </x:c>
      <x:c r="B419" t="n">
        <x:f>20</x:f>
        <x:v>20</x:v>
      </x:c>
      <x:c r="C419" t="str">
        <x:f>IF($N$28="","",$N$28)</x:f>
      </x:c>
      <x:c r="D419" s="88" t="str">
        <x:f>IF(C419="","",I399)</x:f>
      </x:c>
      <x:c r="E419" s="88" t="str">
        <x:f>IF(C419="","",ROUND(D419*$P$28/12,2))</x:f>
      </x:c>
      <x:c r="F419" s="88" t="str">
        <x:f>IF(C419="","",MIN(D419+E419,$Q$28))</x:f>
      </x:c>
      <x:c r="G419" s="88" t="str">
        <x:f>IF(C419="","",MIN(MAX(0,D419+E419-F419),SUMIFS(SONDERZAHLUNGEN!$E$9:$E$128,SONDERZAHLUNGEN!$B$9:$B$128,C419,SONDERZAHLUNGEN!$C$9:$C$128,A419,SONDERZAHLUNGEN!$H$9:$H$128,"OK",SONDERZAHLUNGEN!$F$9:$F$128,"Ja")))</x:f>
      </x:c>
      <x:c r="H419" s="88" t="str">
        <x:f>IF(C419="","",MIN(MAX(0,D419+E419-F419-G419),MAX(0,IF(MONATSBUDGET!$C$27="",0,MONATSBUDGET!$C$27)-SUM(F400:F419)-SUM(H400:H418))))</x:f>
      </x:c>
      <x:c r="I419" s="88" t="str">
        <x:f>IF(C419="","",MAX(0,ROUND(D419+E419-F419-G419-H419,2)))</x:f>
      </x:c>
      <x:c r="J419" s="88" t="str">
        <x:f>IF(C419="","",F419+G419+H419)</x:f>
      </x:c>
      <x:c r="K419" s="88" t="str">
        <x:f>IF(C419="","",MAX(0,SUMIFS(SONDERZAHLUNGEN!$E$9:$E$128,SONDERZAHLUNGEN!$B$9:$B$128,C419,SONDERZAHLUNGEN!$C$9:$C$128,A419,SONDERZAHLUNGEN!$H$9:$H$128,"OK",SONDERZAHLUNGEN!$F$9:$F$128,"Ja")-G419))</x:f>
      </x:c>
    </x:row>
    <x:row r="420" ht="19" customHeight="1">
      <x:c r="A420" s="90" t="n">
        <x:f>MONATSBUDGET!$A$28</x:f>
        <x:v>46844</x:v>
      </x:c>
      <x:c r="B420" t="n">
        <x:f>1</x:f>
        <x:v>1</x:v>
      </x:c>
      <x:c r="C420" t="str">
        <x:f>IF($N$9="","",$N$9)</x:f>
      </x:c>
      <x:c r="D420" s="88" t="str">
        <x:f>IF(C420="","",I400)</x:f>
      </x:c>
      <x:c r="E420" s="88" t="str">
        <x:f>IF(C420="","",ROUND(D420*$P$9/12,2))</x:f>
      </x:c>
      <x:c r="F420" s="88" t="str">
        <x:f>IF(C420="","",MIN(D420+E420,$Q$9))</x:f>
      </x:c>
      <x:c r="G420" s="88" t="str">
        <x:f>IF(C420="","",MIN(MAX(0,D420+E420-F420),SUMIFS(SONDERZAHLUNGEN!$E$9:$E$128,SONDERZAHLUNGEN!$B$9:$B$128,C420,SONDERZAHLUNGEN!$C$9:$C$128,A420,SONDERZAHLUNGEN!$H$9:$H$128,"OK",SONDERZAHLUNGEN!$F$9:$F$128,"Ja")))</x:f>
      </x:c>
      <x:c r="H420" s="88" t="str">
        <x:f>IF(C420="","",MIN(MAX(0,D420+E420-F420-G420),MAX(0,IF(MONATSBUDGET!$C$28="",0,MONATSBUDGET!$C$28)-SUM(F420:F439)-0)))</x:f>
      </x:c>
      <x:c r="I420" s="88" t="str">
        <x:f>IF(C420="","",MAX(0,ROUND(D420+E420-F420-G420-H420,2)))</x:f>
      </x:c>
      <x:c r="J420" s="88" t="str">
        <x:f>IF(C420="","",F420+G420+H420)</x:f>
      </x:c>
      <x:c r="K420" s="88" t="str">
        <x:f>IF(C420="","",MAX(0,SUMIFS(SONDERZAHLUNGEN!$E$9:$E$128,SONDERZAHLUNGEN!$B$9:$B$128,C420,SONDERZAHLUNGEN!$C$9:$C$128,A420,SONDERZAHLUNGEN!$H$9:$H$128,"OK",SONDERZAHLUNGEN!$F$9:$F$128,"Ja")-G420))</x:f>
      </x:c>
    </x:row>
    <x:row r="421" ht="19" customHeight="1">
      <x:c r="A421" s="90" t="n">
        <x:f>MONATSBUDGET!$A$28</x:f>
        <x:v>46844</x:v>
      </x:c>
      <x:c r="B421" t="n">
        <x:f>2</x:f>
        <x:v>2</x:v>
      </x:c>
      <x:c r="C421" t="str">
        <x:f>IF($N$10="","",$N$10)</x:f>
      </x:c>
      <x:c r="D421" s="88" t="str">
        <x:f>IF(C421="","",I401)</x:f>
      </x:c>
      <x:c r="E421" s="88" t="str">
        <x:f>IF(C421="","",ROUND(D421*$P$10/12,2))</x:f>
      </x:c>
      <x:c r="F421" s="88" t="str">
        <x:f>IF(C421="","",MIN(D421+E421,$Q$10))</x:f>
      </x:c>
      <x:c r="G421" s="88" t="str">
        <x:f>IF(C421="","",MIN(MAX(0,D421+E421-F421),SUMIFS(SONDERZAHLUNGEN!$E$9:$E$128,SONDERZAHLUNGEN!$B$9:$B$128,C421,SONDERZAHLUNGEN!$C$9:$C$128,A421,SONDERZAHLUNGEN!$H$9:$H$128,"OK",SONDERZAHLUNGEN!$F$9:$F$128,"Ja")))</x:f>
      </x:c>
      <x:c r="H421" s="88" t="str">
        <x:f>IF(C421="","",MIN(MAX(0,D421+E421-F421-G421),MAX(0,IF(MONATSBUDGET!$C$28="",0,MONATSBUDGET!$C$28)-SUM(F420:F439)-SUM(H420:H420))))</x:f>
      </x:c>
      <x:c r="I421" s="88" t="str">
        <x:f>IF(C421="","",MAX(0,ROUND(D421+E421-F421-G421-H421,2)))</x:f>
      </x:c>
      <x:c r="J421" s="88" t="str">
        <x:f>IF(C421="","",F421+G421+H421)</x:f>
      </x:c>
      <x:c r="K421" s="88" t="str">
        <x:f>IF(C421="","",MAX(0,SUMIFS(SONDERZAHLUNGEN!$E$9:$E$128,SONDERZAHLUNGEN!$B$9:$B$128,C421,SONDERZAHLUNGEN!$C$9:$C$128,A421,SONDERZAHLUNGEN!$H$9:$H$128,"OK",SONDERZAHLUNGEN!$F$9:$F$128,"Ja")-G421))</x:f>
      </x:c>
    </x:row>
    <x:row r="422" ht="19" customHeight="1">
      <x:c r="A422" s="90" t="n">
        <x:f>MONATSBUDGET!$A$28</x:f>
        <x:v>46844</x:v>
      </x:c>
      <x:c r="B422" t="n">
        <x:f>3</x:f>
        <x:v>3</x:v>
      </x:c>
      <x:c r="C422" t="str">
        <x:f>IF($N$11="","",$N$11)</x:f>
      </x:c>
      <x:c r="D422" s="88" t="str">
        <x:f>IF(C422="","",I402)</x:f>
      </x:c>
      <x:c r="E422" s="88" t="str">
        <x:f>IF(C422="","",ROUND(D422*$P$11/12,2))</x:f>
      </x:c>
      <x:c r="F422" s="88" t="str">
        <x:f>IF(C422="","",MIN(D422+E422,$Q$11))</x:f>
      </x:c>
      <x:c r="G422" s="88" t="str">
        <x:f>IF(C422="","",MIN(MAX(0,D422+E422-F422),SUMIFS(SONDERZAHLUNGEN!$E$9:$E$128,SONDERZAHLUNGEN!$B$9:$B$128,C422,SONDERZAHLUNGEN!$C$9:$C$128,A422,SONDERZAHLUNGEN!$H$9:$H$128,"OK",SONDERZAHLUNGEN!$F$9:$F$128,"Ja")))</x:f>
      </x:c>
      <x:c r="H422" s="88" t="str">
        <x:f>IF(C422="","",MIN(MAX(0,D422+E422-F422-G422),MAX(0,IF(MONATSBUDGET!$C$28="",0,MONATSBUDGET!$C$28)-SUM(F420:F439)-SUM(H420:H421))))</x:f>
      </x:c>
      <x:c r="I422" s="88" t="str">
        <x:f>IF(C422="","",MAX(0,ROUND(D422+E422-F422-G422-H422,2)))</x:f>
      </x:c>
      <x:c r="J422" s="88" t="str">
        <x:f>IF(C422="","",F422+G422+H422)</x:f>
      </x:c>
      <x:c r="K422" s="88" t="str">
        <x:f>IF(C422="","",MAX(0,SUMIFS(SONDERZAHLUNGEN!$E$9:$E$128,SONDERZAHLUNGEN!$B$9:$B$128,C422,SONDERZAHLUNGEN!$C$9:$C$128,A422,SONDERZAHLUNGEN!$H$9:$H$128,"OK",SONDERZAHLUNGEN!$F$9:$F$128,"Ja")-G422))</x:f>
      </x:c>
    </x:row>
    <x:row r="423" ht="19" customHeight="1">
      <x:c r="A423" s="90" t="n">
        <x:f>MONATSBUDGET!$A$28</x:f>
        <x:v>46844</x:v>
      </x:c>
      <x:c r="B423" t="n">
        <x:f>4</x:f>
        <x:v>4</x:v>
      </x:c>
      <x:c r="C423" t="str">
        <x:f>IF($N$12="","",$N$12)</x:f>
      </x:c>
      <x:c r="D423" s="88" t="str">
        <x:f>IF(C423="","",I403)</x:f>
      </x:c>
      <x:c r="E423" s="88" t="str">
        <x:f>IF(C423="","",ROUND(D423*$P$12/12,2))</x:f>
      </x:c>
      <x:c r="F423" s="88" t="str">
        <x:f>IF(C423="","",MIN(D423+E423,$Q$12))</x:f>
      </x:c>
      <x:c r="G423" s="88" t="str">
        <x:f>IF(C423="","",MIN(MAX(0,D423+E423-F423),SUMIFS(SONDERZAHLUNGEN!$E$9:$E$128,SONDERZAHLUNGEN!$B$9:$B$128,C423,SONDERZAHLUNGEN!$C$9:$C$128,A423,SONDERZAHLUNGEN!$H$9:$H$128,"OK",SONDERZAHLUNGEN!$F$9:$F$128,"Ja")))</x:f>
      </x:c>
      <x:c r="H423" s="88" t="str">
        <x:f>IF(C423="","",MIN(MAX(0,D423+E423-F423-G423),MAX(0,IF(MONATSBUDGET!$C$28="",0,MONATSBUDGET!$C$28)-SUM(F420:F439)-SUM(H420:H422))))</x:f>
      </x:c>
      <x:c r="I423" s="88" t="str">
        <x:f>IF(C423="","",MAX(0,ROUND(D423+E423-F423-G423-H423,2)))</x:f>
      </x:c>
      <x:c r="J423" s="88" t="str">
        <x:f>IF(C423="","",F423+G423+H423)</x:f>
      </x:c>
      <x:c r="K423" s="88" t="str">
        <x:f>IF(C423="","",MAX(0,SUMIFS(SONDERZAHLUNGEN!$E$9:$E$128,SONDERZAHLUNGEN!$B$9:$B$128,C423,SONDERZAHLUNGEN!$C$9:$C$128,A423,SONDERZAHLUNGEN!$H$9:$H$128,"OK",SONDERZAHLUNGEN!$F$9:$F$128,"Ja")-G423))</x:f>
      </x:c>
    </x:row>
    <x:row r="424" ht="19" customHeight="1">
      <x:c r="A424" s="90" t="n">
        <x:f>MONATSBUDGET!$A$28</x:f>
        <x:v>46844</x:v>
      </x:c>
      <x:c r="B424" t="n">
        <x:f>5</x:f>
        <x:v>5</x:v>
      </x:c>
      <x:c r="C424" t="str">
        <x:f>IF($N$13="","",$N$13)</x:f>
      </x:c>
      <x:c r="D424" s="88" t="str">
        <x:f>IF(C424="","",I404)</x:f>
      </x:c>
      <x:c r="E424" s="88" t="str">
        <x:f>IF(C424="","",ROUND(D424*$P$13/12,2))</x:f>
      </x:c>
      <x:c r="F424" s="88" t="str">
        <x:f>IF(C424="","",MIN(D424+E424,$Q$13))</x:f>
      </x:c>
      <x:c r="G424" s="88" t="str">
        <x:f>IF(C424="","",MIN(MAX(0,D424+E424-F424),SUMIFS(SONDERZAHLUNGEN!$E$9:$E$128,SONDERZAHLUNGEN!$B$9:$B$128,C424,SONDERZAHLUNGEN!$C$9:$C$128,A424,SONDERZAHLUNGEN!$H$9:$H$128,"OK",SONDERZAHLUNGEN!$F$9:$F$128,"Ja")))</x:f>
      </x:c>
      <x:c r="H424" s="88" t="str">
        <x:f>IF(C424="","",MIN(MAX(0,D424+E424-F424-G424),MAX(0,IF(MONATSBUDGET!$C$28="",0,MONATSBUDGET!$C$28)-SUM(F420:F439)-SUM(H420:H423))))</x:f>
      </x:c>
      <x:c r="I424" s="88" t="str">
        <x:f>IF(C424="","",MAX(0,ROUND(D424+E424-F424-G424-H424,2)))</x:f>
      </x:c>
      <x:c r="J424" s="88" t="str">
        <x:f>IF(C424="","",F424+G424+H424)</x:f>
      </x:c>
      <x:c r="K424" s="88" t="str">
        <x:f>IF(C424="","",MAX(0,SUMIFS(SONDERZAHLUNGEN!$E$9:$E$128,SONDERZAHLUNGEN!$B$9:$B$128,C424,SONDERZAHLUNGEN!$C$9:$C$128,A424,SONDERZAHLUNGEN!$H$9:$H$128,"OK",SONDERZAHLUNGEN!$F$9:$F$128,"Ja")-G424))</x:f>
      </x:c>
    </x:row>
    <x:row r="425" ht="19" customHeight="1">
      <x:c r="A425" s="90" t="n">
        <x:f>MONATSBUDGET!$A$28</x:f>
        <x:v>46844</x:v>
      </x:c>
      <x:c r="B425" t="n">
        <x:f>6</x:f>
        <x:v>6</x:v>
      </x:c>
      <x:c r="C425" t="str">
        <x:f>IF($N$14="","",$N$14)</x:f>
      </x:c>
      <x:c r="D425" s="88" t="str">
        <x:f>IF(C425="","",I405)</x:f>
      </x:c>
      <x:c r="E425" s="88" t="str">
        <x:f>IF(C425="","",ROUND(D425*$P$14/12,2))</x:f>
      </x:c>
      <x:c r="F425" s="88" t="str">
        <x:f>IF(C425="","",MIN(D425+E425,$Q$14))</x:f>
      </x:c>
      <x:c r="G425" s="88" t="str">
        <x:f>IF(C425="","",MIN(MAX(0,D425+E425-F425),SUMIFS(SONDERZAHLUNGEN!$E$9:$E$128,SONDERZAHLUNGEN!$B$9:$B$128,C425,SONDERZAHLUNGEN!$C$9:$C$128,A425,SONDERZAHLUNGEN!$H$9:$H$128,"OK",SONDERZAHLUNGEN!$F$9:$F$128,"Ja")))</x:f>
      </x:c>
      <x:c r="H425" s="88" t="str">
        <x:f>IF(C425="","",MIN(MAX(0,D425+E425-F425-G425),MAX(0,IF(MONATSBUDGET!$C$28="",0,MONATSBUDGET!$C$28)-SUM(F420:F439)-SUM(H420:H424))))</x:f>
      </x:c>
      <x:c r="I425" s="88" t="str">
        <x:f>IF(C425="","",MAX(0,ROUND(D425+E425-F425-G425-H425,2)))</x:f>
      </x:c>
      <x:c r="J425" s="88" t="str">
        <x:f>IF(C425="","",F425+G425+H425)</x:f>
      </x:c>
      <x:c r="K425" s="88" t="str">
        <x:f>IF(C425="","",MAX(0,SUMIFS(SONDERZAHLUNGEN!$E$9:$E$128,SONDERZAHLUNGEN!$B$9:$B$128,C425,SONDERZAHLUNGEN!$C$9:$C$128,A425,SONDERZAHLUNGEN!$H$9:$H$128,"OK",SONDERZAHLUNGEN!$F$9:$F$128,"Ja")-G425))</x:f>
      </x:c>
    </x:row>
    <x:row r="426" ht="19" customHeight="1">
      <x:c r="A426" s="90" t="n">
        <x:f>MONATSBUDGET!$A$28</x:f>
        <x:v>46844</x:v>
      </x:c>
      <x:c r="B426" t="n">
        <x:f>7</x:f>
        <x:v>7</x:v>
      </x:c>
      <x:c r="C426" t="str">
        <x:f>IF($N$15="","",$N$15)</x:f>
      </x:c>
      <x:c r="D426" s="88" t="str">
        <x:f>IF(C426="","",I406)</x:f>
      </x:c>
      <x:c r="E426" s="88" t="str">
        <x:f>IF(C426="","",ROUND(D426*$P$15/12,2))</x:f>
      </x:c>
      <x:c r="F426" s="88" t="str">
        <x:f>IF(C426="","",MIN(D426+E426,$Q$15))</x:f>
      </x:c>
      <x:c r="G426" s="88" t="str">
        <x:f>IF(C426="","",MIN(MAX(0,D426+E426-F426),SUMIFS(SONDERZAHLUNGEN!$E$9:$E$128,SONDERZAHLUNGEN!$B$9:$B$128,C426,SONDERZAHLUNGEN!$C$9:$C$128,A426,SONDERZAHLUNGEN!$H$9:$H$128,"OK",SONDERZAHLUNGEN!$F$9:$F$128,"Ja")))</x:f>
      </x:c>
      <x:c r="H426" s="88" t="str">
        <x:f>IF(C426="","",MIN(MAX(0,D426+E426-F426-G426),MAX(0,IF(MONATSBUDGET!$C$28="",0,MONATSBUDGET!$C$28)-SUM(F420:F439)-SUM(H420:H425))))</x:f>
      </x:c>
      <x:c r="I426" s="88" t="str">
        <x:f>IF(C426="","",MAX(0,ROUND(D426+E426-F426-G426-H426,2)))</x:f>
      </x:c>
      <x:c r="J426" s="88" t="str">
        <x:f>IF(C426="","",F426+G426+H426)</x:f>
      </x:c>
      <x:c r="K426" s="88" t="str">
        <x:f>IF(C426="","",MAX(0,SUMIFS(SONDERZAHLUNGEN!$E$9:$E$128,SONDERZAHLUNGEN!$B$9:$B$128,C426,SONDERZAHLUNGEN!$C$9:$C$128,A426,SONDERZAHLUNGEN!$H$9:$H$128,"OK",SONDERZAHLUNGEN!$F$9:$F$128,"Ja")-G426))</x:f>
      </x:c>
    </x:row>
    <x:row r="427" ht="19" customHeight="1">
      <x:c r="A427" s="90" t="n">
        <x:f>MONATSBUDGET!$A$28</x:f>
        <x:v>46844</x:v>
      </x:c>
      <x:c r="B427" t="n">
        <x:f>8</x:f>
        <x:v>8</x:v>
      </x:c>
      <x:c r="C427" t="str">
        <x:f>IF($N$16="","",$N$16)</x:f>
      </x:c>
      <x:c r="D427" s="88" t="str">
        <x:f>IF(C427="","",I407)</x:f>
      </x:c>
      <x:c r="E427" s="88" t="str">
        <x:f>IF(C427="","",ROUND(D427*$P$16/12,2))</x:f>
      </x:c>
      <x:c r="F427" s="88" t="str">
        <x:f>IF(C427="","",MIN(D427+E427,$Q$16))</x:f>
      </x:c>
      <x:c r="G427" s="88" t="str">
        <x:f>IF(C427="","",MIN(MAX(0,D427+E427-F427),SUMIFS(SONDERZAHLUNGEN!$E$9:$E$128,SONDERZAHLUNGEN!$B$9:$B$128,C427,SONDERZAHLUNGEN!$C$9:$C$128,A427,SONDERZAHLUNGEN!$H$9:$H$128,"OK",SONDERZAHLUNGEN!$F$9:$F$128,"Ja")))</x:f>
      </x:c>
      <x:c r="H427" s="88" t="str">
        <x:f>IF(C427="","",MIN(MAX(0,D427+E427-F427-G427),MAX(0,IF(MONATSBUDGET!$C$28="",0,MONATSBUDGET!$C$28)-SUM(F420:F439)-SUM(H420:H426))))</x:f>
      </x:c>
      <x:c r="I427" s="88" t="str">
        <x:f>IF(C427="","",MAX(0,ROUND(D427+E427-F427-G427-H427,2)))</x:f>
      </x:c>
      <x:c r="J427" s="88" t="str">
        <x:f>IF(C427="","",F427+G427+H427)</x:f>
      </x:c>
      <x:c r="K427" s="88" t="str">
        <x:f>IF(C427="","",MAX(0,SUMIFS(SONDERZAHLUNGEN!$E$9:$E$128,SONDERZAHLUNGEN!$B$9:$B$128,C427,SONDERZAHLUNGEN!$C$9:$C$128,A427,SONDERZAHLUNGEN!$H$9:$H$128,"OK",SONDERZAHLUNGEN!$F$9:$F$128,"Ja")-G427))</x:f>
      </x:c>
    </x:row>
    <x:row r="428" ht="19" customHeight="1">
      <x:c r="A428" s="90" t="n">
        <x:f>MONATSBUDGET!$A$28</x:f>
        <x:v>46844</x:v>
      </x:c>
      <x:c r="B428" t="n">
        <x:f>9</x:f>
        <x:v>9</x:v>
      </x:c>
      <x:c r="C428" t="str">
        <x:f>IF($N$17="","",$N$17)</x:f>
      </x:c>
      <x:c r="D428" s="88" t="str">
        <x:f>IF(C428="","",I408)</x:f>
      </x:c>
      <x:c r="E428" s="88" t="str">
        <x:f>IF(C428="","",ROUND(D428*$P$17/12,2))</x:f>
      </x:c>
      <x:c r="F428" s="88" t="str">
        <x:f>IF(C428="","",MIN(D428+E428,$Q$17))</x:f>
      </x:c>
      <x:c r="G428" s="88" t="str">
        <x:f>IF(C428="","",MIN(MAX(0,D428+E428-F428),SUMIFS(SONDERZAHLUNGEN!$E$9:$E$128,SONDERZAHLUNGEN!$B$9:$B$128,C428,SONDERZAHLUNGEN!$C$9:$C$128,A428,SONDERZAHLUNGEN!$H$9:$H$128,"OK",SONDERZAHLUNGEN!$F$9:$F$128,"Ja")))</x:f>
      </x:c>
      <x:c r="H428" s="88" t="str">
        <x:f>IF(C428="","",MIN(MAX(0,D428+E428-F428-G428),MAX(0,IF(MONATSBUDGET!$C$28="",0,MONATSBUDGET!$C$28)-SUM(F420:F439)-SUM(H420:H427))))</x:f>
      </x:c>
      <x:c r="I428" s="88" t="str">
        <x:f>IF(C428="","",MAX(0,ROUND(D428+E428-F428-G428-H428,2)))</x:f>
      </x:c>
      <x:c r="J428" s="88" t="str">
        <x:f>IF(C428="","",F428+G428+H428)</x:f>
      </x:c>
      <x:c r="K428" s="88" t="str">
        <x:f>IF(C428="","",MAX(0,SUMIFS(SONDERZAHLUNGEN!$E$9:$E$128,SONDERZAHLUNGEN!$B$9:$B$128,C428,SONDERZAHLUNGEN!$C$9:$C$128,A428,SONDERZAHLUNGEN!$H$9:$H$128,"OK",SONDERZAHLUNGEN!$F$9:$F$128,"Ja")-G428))</x:f>
      </x:c>
    </x:row>
    <x:row r="429" ht="19" customHeight="1">
      <x:c r="A429" s="90" t="n">
        <x:f>MONATSBUDGET!$A$28</x:f>
        <x:v>46844</x:v>
      </x:c>
      <x:c r="B429" t="n">
        <x:f>10</x:f>
        <x:v>10</x:v>
      </x:c>
      <x:c r="C429" t="str">
        <x:f>IF($N$18="","",$N$18)</x:f>
      </x:c>
      <x:c r="D429" s="88" t="str">
        <x:f>IF(C429="","",I409)</x:f>
      </x:c>
      <x:c r="E429" s="88" t="str">
        <x:f>IF(C429="","",ROUND(D429*$P$18/12,2))</x:f>
      </x:c>
      <x:c r="F429" s="88" t="str">
        <x:f>IF(C429="","",MIN(D429+E429,$Q$18))</x:f>
      </x:c>
      <x:c r="G429" s="88" t="str">
        <x:f>IF(C429="","",MIN(MAX(0,D429+E429-F429),SUMIFS(SONDERZAHLUNGEN!$E$9:$E$128,SONDERZAHLUNGEN!$B$9:$B$128,C429,SONDERZAHLUNGEN!$C$9:$C$128,A429,SONDERZAHLUNGEN!$H$9:$H$128,"OK",SONDERZAHLUNGEN!$F$9:$F$128,"Ja")))</x:f>
      </x:c>
      <x:c r="H429" s="88" t="str">
        <x:f>IF(C429="","",MIN(MAX(0,D429+E429-F429-G429),MAX(0,IF(MONATSBUDGET!$C$28="",0,MONATSBUDGET!$C$28)-SUM(F420:F439)-SUM(H420:H428))))</x:f>
      </x:c>
      <x:c r="I429" s="88" t="str">
        <x:f>IF(C429="","",MAX(0,ROUND(D429+E429-F429-G429-H429,2)))</x:f>
      </x:c>
      <x:c r="J429" s="88" t="str">
        <x:f>IF(C429="","",F429+G429+H429)</x:f>
      </x:c>
      <x:c r="K429" s="88" t="str">
        <x:f>IF(C429="","",MAX(0,SUMIFS(SONDERZAHLUNGEN!$E$9:$E$128,SONDERZAHLUNGEN!$B$9:$B$128,C429,SONDERZAHLUNGEN!$C$9:$C$128,A429,SONDERZAHLUNGEN!$H$9:$H$128,"OK",SONDERZAHLUNGEN!$F$9:$F$128,"Ja")-G429))</x:f>
      </x:c>
    </x:row>
    <x:row r="430" ht="19" customHeight="1">
      <x:c r="A430" s="90" t="n">
        <x:f>MONATSBUDGET!$A$28</x:f>
        <x:v>46844</x:v>
      </x:c>
      <x:c r="B430" t="n">
        <x:f>11</x:f>
        <x:v>11</x:v>
      </x:c>
      <x:c r="C430" t="str">
        <x:f>IF($N$19="","",$N$19)</x:f>
      </x:c>
      <x:c r="D430" s="88" t="str">
        <x:f>IF(C430="","",I410)</x:f>
      </x:c>
      <x:c r="E430" s="88" t="str">
        <x:f>IF(C430="","",ROUND(D430*$P$19/12,2))</x:f>
      </x:c>
      <x:c r="F430" s="88" t="str">
        <x:f>IF(C430="","",MIN(D430+E430,$Q$19))</x:f>
      </x:c>
      <x:c r="G430" s="88" t="str">
        <x:f>IF(C430="","",MIN(MAX(0,D430+E430-F430),SUMIFS(SONDERZAHLUNGEN!$E$9:$E$128,SONDERZAHLUNGEN!$B$9:$B$128,C430,SONDERZAHLUNGEN!$C$9:$C$128,A430,SONDERZAHLUNGEN!$H$9:$H$128,"OK",SONDERZAHLUNGEN!$F$9:$F$128,"Ja")))</x:f>
      </x:c>
      <x:c r="H430" s="88" t="str">
        <x:f>IF(C430="","",MIN(MAX(0,D430+E430-F430-G430),MAX(0,IF(MONATSBUDGET!$C$28="",0,MONATSBUDGET!$C$28)-SUM(F420:F439)-SUM(H420:H429))))</x:f>
      </x:c>
      <x:c r="I430" s="88" t="str">
        <x:f>IF(C430="","",MAX(0,ROUND(D430+E430-F430-G430-H430,2)))</x:f>
      </x:c>
      <x:c r="J430" s="88" t="str">
        <x:f>IF(C430="","",F430+G430+H430)</x:f>
      </x:c>
      <x:c r="K430" s="88" t="str">
        <x:f>IF(C430="","",MAX(0,SUMIFS(SONDERZAHLUNGEN!$E$9:$E$128,SONDERZAHLUNGEN!$B$9:$B$128,C430,SONDERZAHLUNGEN!$C$9:$C$128,A430,SONDERZAHLUNGEN!$H$9:$H$128,"OK",SONDERZAHLUNGEN!$F$9:$F$128,"Ja")-G430))</x:f>
      </x:c>
    </x:row>
    <x:row r="431" ht="19" customHeight="1">
      <x:c r="A431" s="90" t="n">
        <x:f>MONATSBUDGET!$A$28</x:f>
        <x:v>46844</x:v>
      </x:c>
      <x:c r="B431" t="n">
        <x:f>12</x:f>
        <x:v>12</x:v>
      </x:c>
      <x:c r="C431" t="str">
        <x:f>IF($N$20="","",$N$20)</x:f>
      </x:c>
      <x:c r="D431" s="88" t="str">
        <x:f>IF(C431="","",I411)</x:f>
      </x:c>
      <x:c r="E431" s="88" t="str">
        <x:f>IF(C431="","",ROUND(D431*$P$20/12,2))</x:f>
      </x:c>
      <x:c r="F431" s="88" t="str">
        <x:f>IF(C431="","",MIN(D431+E431,$Q$20))</x:f>
      </x:c>
      <x:c r="G431" s="88" t="str">
        <x:f>IF(C431="","",MIN(MAX(0,D431+E431-F431),SUMIFS(SONDERZAHLUNGEN!$E$9:$E$128,SONDERZAHLUNGEN!$B$9:$B$128,C431,SONDERZAHLUNGEN!$C$9:$C$128,A431,SONDERZAHLUNGEN!$H$9:$H$128,"OK",SONDERZAHLUNGEN!$F$9:$F$128,"Ja")))</x:f>
      </x:c>
      <x:c r="H431" s="88" t="str">
        <x:f>IF(C431="","",MIN(MAX(0,D431+E431-F431-G431),MAX(0,IF(MONATSBUDGET!$C$28="",0,MONATSBUDGET!$C$28)-SUM(F420:F439)-SUM(H420:H430))))</x:f>
      </x:c>
      <x:c r="I431" s="88" t="str">
        <x:f>IF(C431="","",MAX(0,ROUND(D431+E431-F431-G431-H431,2)))</x:f>
      </x:c>
      <x:c r="J431" s="88" t="str">
        <x:f>IF(C431="","",F431+G431+H431)</x:f>
      </x:c>
      <x:c r="K431" s="88" t="str">
        <x:f>IF(C431="","",MAX(0,SUMIFS(SONDERZAHLUNGEN!$E$9:$E$128,SONDERZAHLUNGEN!$B$9:$B$128,C431,SONDERZAHLUNGEN!$C$9:$C$128,A431,SONDERZAHLUNGEN!$H$9:$H$128,"OK",SONDERZAHLUNGEN!$F$9:$F$128,"Ja")-G431))</x:f>
      </x:c>
    </x:row>
    <x:row r="432" ht="19" customHeight="1">
      <x:c r="A432" s="90" t="n">
        <x:f>MONATSBUDGET!$A$28</x:f>
        <x:v>46844</x:v>
      </x:c>
      <x:c r="B432" t="n">
        <x:f>13</x:f>
        <x:v>13</x:v>
      </x:c>
      <x:c r="C432" t="str">
        <x:f>IF($N$21="","",$N$21)</x:f>
      </x:c>
      <x:c r="D432" s="88" t="str">
        <x:f>IF(C432="","",I412)</x:f>
      </x:c>
      <x:c r="E432" s="88" t="str">
        <x:f>IF(C432="","",ROUND(D432*$P$21/12,2))</x:f>
      </x:c>
      <x:c r="F432" s="88" t="str">
        <x:f>IF(C432="","",MIN(D432+E432,$Q$21))</x:f>
      </x:c>
      <x:c r="G432" s="88" t="str">
        <x:f>IF(C432="","",MIN(MAX(0,D432+E432-F432),SUMIFS(SONDERZAHLUNGEN!$E$9:$E$128,SONDERZAHLUNGEN!$B$9:$B$128,C432,SONDERZAHLUNGEN!$C$9:$C$128,A432,SONDERZAHLUNGEN!$H$9:$H$128,"OK",SONDERZAHLUNGEN!$F$9:$F$128,"Ja")))</x:f>
      </x:c>
      <x:c r="H432" s="88" t="str">
        <x:f>IF(C432="","",MIN(MAX(0,D432+E432-F432-G432),MAX(0,IF(MONATSBUDGET!$C$28="",0,MONATSBUDGET!$C$28)-SUM(F420:F439)-SUM(H420:H431))))</x:f>
      </x:c>
      <x:c r="I432" s="88" t="str">
        <x:f>IF(C432="","",MAX(0,ROUND(D432+E432-F432-G432-H432,2)))</x:f>
      </x:c>
      <x:c r="J432" s="88" t="str">
        <x:f>IF(C432="","",F432+G432+H432)</x:f>
      </x:c>
      <x:c r="K432" s="88" t="str">
        <x:f>IF(C432="","",MAX(0,SUMIFS(SONDERZAHLUNGEN!$E$9:$E$128,SONDERZAHLUNGEN!$B$9:$B$128,C432,SONDERZAHLUNGEN!$C$9:$C$128,A432,SONDERZAHLUNGEN!$H$9:$H$128,"OK",SONDERZAHLUNGEN!$F$9:$F$128,"Ja")-G432))</x:f>
      </x:c>
    </x:row>
    <x:row r="433" ht="19" customHeight="1">
      <x:c r="A433" s="90" t="n">
        <x:f>MONATSBUDGET!$A$28</x:f>
        <x:v>46844</x:v>
      </x:c>
      <x:c r="B433" t="n">
        <x:f>14</x:f>
        <x:v>14</x:v>
      </x:c>
      <x:c r="C433" t="str">
        <x:f>IF($N$22="","",$N$22)</x:f>
      </x:c>
      <x:c r="D433" s="88" t="str">
        <x:f>IF(C433="","",I413)</x:f>
      </x:c>
      <x:c r="E433" s="88" t="str">
        <x:f>IF(C433="","",ROUND(D433*$P$22/12,2))</x:f>
      </x:c>
      <x:c r="F433" s="88" t="str">
        <x:f>IF(C433="","",MIN(D433+E433,$Q$22))</x:f>
      </x:c>
      <x:c r="G433" s="88" t="str">
        <x:f>IF(C433="","",MIN(MAX(0,D433+E433-F433),SUMIFS(SONDERZAHLUNGEN!$E$9:$E$128,SONDERZAHLUNGEN!$B$9:$B$128,C433,SONDERZAHLUNGEN!$C$9:$C$128,A433,SONDERZAHLUNGEN!$H$9:$H$128,"OK",SONDERZAHLUNGEN!$F$9:$F$128,"Ja")))</x:f>
      </x:c>
      <x:c r="H433" s="88" t="str">
        <x:f>IF(C433="","",MIN(MAX(0,D433+E433-F433-G433),MAX(0,IF(MONATSBUDGET!$C$28="",0,MONATSBUDGET!$C$28)-SUM(F420:F439)-SUM(H420:H432))))</x:f>
      </x:c>
      <x:c r="I433" s="88" t="str">
        <x:f>IF(C433="","",MAX(0,ROUND(D433+E433-F433-G433-H433,2)))</x:f>
      </x:c>
      <x:c r="J433" s="88" t="str">
        <x:f>IF(C433="","",F433+G433+H433)</x:f>
      </x:c>
      <x:c r="K433" s="88" t="str">
        <x:f>IF(C433="","",MAX(0,SUMIFS(SONDERZAHLUNGEN!$E$9:$E$128,SONDERZAHLUNGEN!$B$9:$B$128,C433,SONDERZAHLUNGEN!$C$9:$C$128,A433,SONDERZAHLUNGEN!$H$9:$H$128,"OK",SONDERZAHLUNGEN!$F$9:$F$128,"Ja")-G433))</x:f>
      </x:c>
    </x:row>
    <x:row r="434" ht="19" customHeight="1">
      <x:c r="A434" s="90" t="n">
        <x:f>MONATSBUDGET!$A$28</x:f>
        <x:v>46844</x:v>
      </x:c>
      <x:c r="B434" t="n">
        <x:f>15</x:f>
        <x:v>15</x:v>
      </x:c>
      <x:c r="C434" t="str">
        <x:f>IF($N$23="","",$N$23)</x:f>
      </x:c>
      <x:c r="D434" s="88" t="str">
        <x:f>IF(C434="","",I414)</x:f>
      </x:c>
      <x:c r="E434" s="88" t="str">
        <x:f>IF(C434="","",ROUND(D434*$P$23/12,2))</x:f>
      </x:c>
      <x:c r="F434" s="88" t="str">
        <x:f>IF(C434="","",MIN(D434+E434,$Q$23))</x:f>
      </x:c>
      <x:c r="G434" s="88" t="str">
        <x:f>IF(C434="","",MIN(MAX(0,D434+E434-F434),SUMIFS(SONDERZAHLUNGEN!$E$9:$E$128,SONDERZAHLUNGEN!$B$9:$B$128,C434,SONDERZAHLUNGEN!$C$9:$C$128,A434,SONDERZAHLUNGEN!$H$9:$H$128,"OK",SONDERZAHLUNGEN!$F$9:$F$128,"Ja")))</x:f>
      </x:c>
      <x:c r="H434" s="88" t="str">
        <x:f>IF(C434="","",MIN(MAX(0,D434+E434-F434-G434),MAX(0,IF(MONATSBUDGET!$C$28="",0,MONATSBUDGET!$C$28)-SUM(F420:F439)-SUM(H420:H433))))</x:f>
      </x:c>
      <x:c r="I434" s="88" t="str">
        <x:f>IF(C434="","",MAX(0,ROUND(D434+E434-F434-G434-H434,2)))</x:f>
      </x:c>
      <x:c r="J434" s="88" t="str">
        <x:f>IF(C434="","",F434+G434+H434)</x:f>
      </x:c>
      <x:c r="K434" s="88" t="str">
        <x:f>IF(C434="","",MAX(0,SUMIFS(SONDERZAHLUNGEN!$E$9:$E$128,SONDERZAHLUNGEN!$B$9:$B$128,C434,SONDERZAHLUNGEN!$C$9:$C$128,A434,SONDERZAHLUNGEN!$H$9:$H$128,"OK",SONDERZAHLUNGEN!$F$9:$F$128,"Ja")-G434))</x:f>
      </x:c>
    </x:row>
    <x:row r="435" ht="19" customHeight="1">
      <x:c r="A435" s="90" t="n">
        <x:f>MONATSBUDGET!$A$28</x:f>
        <x:v>46844</x:v>
      </x:c>
      <x:c r="B435" t="n">
        <x:f>16</x:f>
        <x:v>16</x:v>
      </x:c>
      <x:c r="C435" t="str">
        <x:f>IF($N$24="","",$N$24)</x:f>
      </x:c>
      <x:c r="D435" s="88" t="str">
        <x:f>IF(C435="","",I415)</x:f>
      </x:c>
      <x:c r="E435" s="88" t="str">
        <x:f>IF(C435="","",ROUND(D435*$P$24/12,2))</x:f>
      </x:c>
      <x:c r="F435" s="88" t="str">
        <x:f>IF(C435="","",MIN(D435+E435,$Q$24))</x:f>
      </x:c>
      <x:c r="G435" s="88" t="str">
        <x:f>IF(C435="","",MIN(MAX(0,D435+E435-F435),SUMIFS(SONDERZAHLUNGEN!$E$9:$E$128,SONDERZAHLUNGEN!$B$9:$B$128,C435,SONDERZAHLUNGEN!$C$9:$C$128,A435,SONDERZAHLUNGEN!$H$9:$H$128,"OK",SONDERZAHLUNGEN!$F$9:$F$128,"Ja")))</x:f>
      </x:c>
      <x:c r="H435" s="88" t="str">
        <x:f>IF(C435="","",MIN(MAX(0,D435+E435-F435-G435),MAX(0,IF(MONATSBUDGET!$C$28="",0,MONATSBUDGET!$C$28)-SUM(F420:F439)-SUM(H420:H434))))</x:f>
      </x:c>
      <x:c r="I435" s="88" t="str">
        <x:f>IF(C435="","",MAX(0,ROUND(D435+E435-F435-G435-H435,2)))</x:f>
      </x:c>
      <x:c r="J435" s="88" t="str">
        <x:f>IF(C435="","",F435+G435+H435)</x:f>
      </x:c>
      <x:c r="K435" s="88" t="str">
        <x:f>IF(C435="","",MAX(0,SUMIFS(SONDERZAHLUNGEN!$E$9:$E$128,SONDERZAHLUNGEN!$B$9:$B$128,C435,SONDERZAHLUNGEN!$C$9:$C$128,A435,SONDERZAHLUNGEN!$H$9:$H$128,"OK",SONDERZAHLUNGEN!$F$9:$F$128,"Ja")-G435))</x:f>
      </x:c>
    </x:row>
    <x:row r="436" ht="19" customHeight="1">
      <x:c r="A436" s="90" t="n">
        <x:f>MONATSBUDGET!$A$28</x:f>
        <x:v>46844</x:v>
      </x:c>
      <x:c r="B436" t="n">
        <x:f>17</x:f>
        <x:v>17</x:v>
      </x:c>
      <x:c r="C436" t="str">
        <x:f>IF($N$25="","",$N$25)</x:f>
      </x:c>
      <x:c r="D436" s="88" t="str">
        <x:f>IF(C436="","",I416)</x:f>
      </x:c>
      <x:c r="E436" s="88" t="str">
        <x:f>IF(C436="","",ROUND(D436*$P$25/12,2))</x:f>
      </x:c>
      <x:c r="F436" s="88" t="str">
        <x:f>IF(C436="","",MIN(D436+E436,$Q$25))</x:f>
      </x:c>
      <x:c r="G436" s="88" t="str">
        <x:f>IF(C436="","",MIN(MAX(0,D436+E436-F436),SUMIFS(SONDERZAHLUNGEN!$E$9:$E$128,SONDERZAHLUNGEN!$B$9:$B$128,C436,SONDERZAHLUNGEN!$C$9:$C$128,A436,SONDERZAHLUNGEN!$H$9:$H$128,"OK",SONDERZAHLUNGEN!$F$9:$F$128,"Ja")))</x:f>
      </x:c>
      <x:c r="H436" s="88" t="str">
        <x:f>IF(C436="","",MIN(MAX(0,D436+E436-F436-G436),MAX(0,IF(MONATSBUDGET!$C$28="",0,MONATSBUDGET!$C$28)-SUM(F420:F439)-SUM(H420:H435))))</x:f>
      </x:c>
      <x:c r="I436" s="88" t="str">
        <x:f>IF(C436="","",MAX(0,ROUND(D436+E436-F436-G436-H436,2)))</x:f>
      </x:c>
      <x:c r="J436" s="88" t="str">
        <x:f>IF(C436="","",F436+G436+H436)</x:f>
      </x:c>
      <x:c r="K436" s="88" t="str">
        <x:f>IF(C436="","",MAX(0,SUMIFS(SONDERZAHLUNGEN!$E$9:$E$128,SONDERZAHLUNGEN!$B$9:$B$128,C436,SONDERZAHLUNGEN!$C$9:$C$128,A436,SONDERZAHLUNGEN!$H$9:$H$128,"OK",SONDERZAHLUNGEN!$F$9:$F$128,"Ja")-G436))</x:f>
      </x:c>
    </x:row>
    <x:row r="437" ht="19" customHeight="1">
      <x:c r="A437" s="90" t="n">
        <x:f>MONATSBUDGET!$A$28</x:f>
        <x:v>46844</x:v>
      </x:c>
      <x:c r="B437" t="n">
        <x:f>18</x:f>
        <x:v>18</x:v>
      </x:c>
      <x:c r="C437" t="str">
        <x:f>IF($N$26="","",$N$26)</x:f>
      </x:c>
      <x:c r="D437" s="88" t="str">
        <x:f>IF(C437="","",I417)</x:f>
      </x:c>
      <x:c r="E437" s="88" t="str">
        <x:f>IF(C437="","",ROUND(D437*$P$26/12,2))</x:f>
      </x:c>
      <x:c r="F437" s="88" t="str">
        <x:f>IF(C437="","",MIN(D437+E437,$Q$26))</x:f>
      </x:c>
      <x:c r="G437" s="88" t="str">
        <x:f>IF(C437="","",MIN(MAX(0,D437+E437-F437),SUMIFS(SONDERZAHLUNGEN!$E$9:$E$128,SONDERZAHLUNGEN!$B$9:$B$128,C437,SONDERZAHLUNGEN!$C$9:$C$128,A437,SONDERZAHLUNGEN!$H$9:$H$128,"OK",SONDERZAHLUNGEN!$F$9:$F$128,"Ja")))</x:f>
      </x:c>
      <x:c r="H437" s="88" t="str">
        <x:f>IF(C437="","",MIN(MAX(0,D437+E437-F437-G437),MAX(0,IF(MONATSBUDGET!$C$28="",0,MONATSBUDGET!$C$28)-SUM(F420:F439)-SUM(H420:H436))))</x:f>
      </x:c>
      <x:c r="I437" s="88" t="str">
        <x:f>IF(C437="","",MAX(0,ROUND(D437+E437-F437-G437-H437,2)))</x:f>
      </x:c>
      <x:c r="J437" s="88" t="str">
        <x:f>IF(C437="","",F437+G437+H437)</x:f>
      </x:c>
      <x:c r="K437" s="88" t="str">
        <x:f>IF(C437="","",MAX(0,SUMIFS(SONDERZAHLUNGEN!$E$9:$E$128,SONDERZAHLUNGEN!$B$9:$B$128,C437,SONDERZAHLUNGEN!$C$9:$C$128,A437,SONDERZAHLUNGEN!$H$9:$H$128,"OK",SONDERZAHLUNGEN!$F$9:$F$128,"Ja")-G437))</x:f>
      </x:c>
    </x:row>
    <x:row r="438" ht="19" customHeight="1">
      <x:c r="A438" s="90" t="n">
        <x:f>MONATSBUDGET!$A$28</x:f>
        <x:v>46844</x:v>
      </x:c>
      <x:c r="B438" t="n">
        <x:f>19</x:f>
        <x:v>19</x:v>
      </x:c>
      <x:c r="C438" t="str">
        <x:f>IF($N$27="","",$N$27)</x:f>
      </x:c>
      <x:c r="D438" s="88" t="str">
        <x:f>IF(C438="","",I418)</x:f>
      </x:c>
      <x:c r="E438" s="88" t="str">
        <x:f>IF(C438="","",ROUND(D438*$P$27/12,2))</x:f>
      </x:c>
      <x:c r="F438" s="88" t="str">
        <x:f>IF(C438="","",MIN(D438+E438,$Q$27))</x:f>
      </x:c>
      <x:c r="G438" s="88" t="str">
        <x:f>IF(C438="","",MIN(MAX(0,D438+E438-F438),SUMIFS(SONDERZAHLUNGEN!$E$9:$E$128,SONDERZAHLUNGEN!$B$9:$B$128,C438,SONDERZAHLUNGEN!$C$9:$C$128,A438,SONDERZAHLUNGEN!$H$9:$H$128,"OK",SONDERZAHLUNGEN!$F$9:$F$128,"Ja")))</x:f>
      </x:c>
      <x:c r="H438" s="88" t="str">
        <x:f>IF(C438="","",MIN(MAX(0,D438+E438-F438-G438),MAX(0,IF(MONATSBUDGET!$C$28="",0,MONATSBUDGET!$C$28)-SUM(F420:F439)-SUM(H420:H437))))</x:f>
      </x:c>
      <x:c r="I438" s="88" t="str">
        <x:f>IF(C438="","",MAX(0,ROUND(D438+E438-F438-G438-H438,2)))</x:f>
      </x:c>
      <x:c r="J438" s="88" t="str">
        <x:f>IF(C438="","",F438+G438+H438)</x:f>
      </x:c>
      <x:c r="K438" s="88" t="str">
        <x:f>IF(C438="","",MAX(0,SUMIFS(SONDERZAHLUNGEN!$E$9:$E$128,SONDERZAHLUNGEN!$B$9:$B$128,C438,SONDERZAHLUNGEN!$C$9:$C$128,A438,SONDERZAHLUNGEN!$H$9:$H$128,"OK",SONDERZAHLUNGEN!$F$9:$F$128,"Ja")-G438))</x:f>
      </x:c>
    </x:row>
    <x:row r="439" ht="19" customHeight="1">
      <x:c r="A439" s="90" t="n">
        <x:f>MONATSBUDGET!$A$28</x:f>
        <x:v>46844</x:v>
      </x:c>
      <x:c r="B439" t="n">
        <x:f>20</x:f>
        <x:v>20</x:v>
      </x:c>
      <x:c r="C439" t="str">
        <x:f>IF($N$28="","",$N$28)</x:f>
      </x:c>
      <x:c r="D439" s="88" t="str">
        <x:f>IF(C439="","",I419)</x:f>
      </x:c>
      <x:c r="E439" s="88" t="str">
        <x:f>IF(C439="","",ROUND(D439*$P$28/12,2))</x:f>
      </x:c>
      <x:c r="F439" s="88" t="str">
        <x:f>IF(C439="","",MIN(D439+E439,$Q$28))</x:f>
      </x:c>
      <x:c r="G439" s="88" t="str">
        <x:f>IF(C439="","",MIN(MAX(0,D439+E439-F439),SUMIFS(SONDERZAHLUNGEN!$E$9:$E$128,SONDERZAHLUNGEN!$B$9:$B$128,C439,SONDERZAHLUNGEN!$C$9:$C$128,A439,SONDERZAHLUNGEN!$H$9:$H$128,"OK",SONDERZAHLUNGEN!$F$9:$F$128,"Ja")))</x:f>
      </x:c>
      <x:c r="H439" s="88" t="str">
        <x:f>IF(C439="","",MIN(MAX(0,D439+E439-F439-G439),MAX(0,IF(MONATSBUDGET!$C$28="",0,MONATSBUDGET!$C$28)-SUM(F420:F439)-SUM(H420:H438))))</x:f>
      </x:c>
      <x:c r="I439" s="88" t="str">
        <x:f>IF(C439="","",MAX(0,ROUND(D439+E439-F439-G439-H439,2)))</x:f>
      </x:c>
      <x:c r="J439" s="88" t="str">
        <x:f>IF(C439="","",F439+G439+H439)</x:f>
      </x:c>
      <x:c r="K439" s="88" t="str">
        <x:f>IF(C439="","",MAX(0,SUMIFS(SONDERZAHLUNGEN!$E$9:$E$128,SONDERZAHLUNGEN!$B$9:$B$128,C439,SONDERZAHLUNGEN!$C$9:$C$128,A439,SONDERZAHLUNGEN!$H$9:$H$128,"OK",SONDERZAHLUNGEN!$F$9:$F$128,"Ja")-G439))</x:f>
      </x:c>
    </x:row>
    <x:row r="440" ht="19" customHeight="1">
      <x:c r="A440" s="90" t="n">
        <x:f>MONATSBUDGET!$A$29</x:f>
        <x:v>46874</x:v>
      </x:c>
      <x:c r="B440" t="n">
        <x:f>1</x:f>
        <x:v>1</x:v>
      </x:c>
      <x:c r="C440" t="str">
        <x:f>IF($N$9="","",$N$9)</x:f>
      </x:c>
      <x:c r="D440" s="88" t="str">
        <x:f>IF(C440="","",I420)</x:f>
      </x:c>
      <x:c r="E440" s="88" t="str">
        <x:f>IF(C440="","",ROUND(D440*$P$9/12,2))</x:f>
      </x:c>
      <x:c r="F440" s="88" t="str">
        <x:f>IF(C440="","",MIN(D440+E440,$Q$9))</x:f>
      </x:c>
      <x:c r="G440" s="88" t="str">
        <x:f>IF(C440="","",MIN(MAX(0,D440+E440-F440),SUMIFS(SONDERZAHLUNGEN!$E$9:$E$128,SONDERZAHLUNGEN!$B$9:$B$128,C440,SONDERZAHLUNGEN!$C$9:$C$128,A440,SONDERZAHLUNGEN!$H$9:$H$128,"OK",SONDERZAHLUNGEN!$F$9:$F$128,"Ja")))</x:f>
      </x:c>
      <x:c r="H440" s="88" t="str">
        <x:f>IF(C440="","",MIN(MAX(0,D440+E440-F440-G440),MAX(0,IF(MONATSBUDGET!$C$29="",0,MONATSBUDGET!$C$29)-SUM(F440:F459)-0)))</x:f>
      </x:c>
      <x:c r="I440" s="88" t="str">
        <x:f>IF(C440="","",MAX(0,ROUND(D440+E440-F440-G440-H440,2)))</x:f>
      </x:c>
      <x:c r="J440" s="88" t="str">
        <x:f>IF(C440="","",F440+G440+H440)</x:f>
      </x:c>
      <x:c r="K440" s="88" t="str">
        <x:f>IF(C440="","",MAX(0,SUMIFS(SONDERZAHLUNGEN!$E$9:$E$128,SONDERZAHLUNGEN!$B$9:$B$128,C440,SONDERZAHLUNGEN!$C$9:$C$128,A440,SONDERZAHLUNGEN!$H$9:$H$128,"OK",SONDERZAHLUNGEN!$F$9:$F$128,"Ja")-G440))</x:f>
      </x:c>
    </x:row>
    <x:row r="441" ht="19" customHeight="1">
      <x:c r="A441" s="90" t="n">
        <x:f>MONATSBUDGET!$A$29</x:f>
        <x:v>46874</x:v>
      </x:c>
      <x:c r="B441" t="n">
        <x:f>2</x:f>
        <x:v>2</x:v>
      </x:c>
      <x:c r="C441" t="str">
        <x:f>IF($N$10="","",$N$10)</x:f>
      </x:c>
      <x:c r="D441" s="88" t="str">
        <x:f>IF(C441="","",I421)</x:f>
      </x:c>
      <x:c r="E441" s="88" t="str">
        <x:f>IF(C441="","",ROUND(D441*$P$10/12,2))</x:f>
      </x:c>
      <x:c r="F441" s="88" t="str">
        <x:f>IF(C441="","",MIN(D441+E441,$Q$10))</x:f>
      </x:c>
      <x:c r="G441" s="88" t="str">
        <x:f>IF(C441="","",MIN(MAX(0,D441+E441-F441),SUMIFS(SONDERZAHLUNGEN!$E$9:$E$128,SONDERZAHLUNGEN!$B$9:$B$128,C441,SONDERZAHLUNGEN!$C$9:$C$128,A441,SONDERZAHLUNGEN!$H$9:$H$128,"OK",SONDERZAHLUNGEN!$F$9:$F$128,"Ja")))</x:f>
      </x:c>
      <x:c r="H441" s="88" t="str">
        <x:f>IF(C441="","",MIN(MAX(0,D441+E441-F441-G441),MAX(0,IF(MONATSBUDGET!$C$29="",0,MONATSBUDGET!$C$29)-SUM(F440:F459)-SUM(H440:H440))))</x:f>
      </x:c>
      <x:c r="I441" s="88" t="str">
        <x:f>IF(C441="","",MAX(0,ROUND(D441+E441-F441-G441-H441,2)))</x:f>
      </x:c>
      <x:c r="J441" s="88" t="str">
        <x:f>IF(C441="","",F441+G441+H441)</x:f>
      </x:c>
      <x:c r="K441" s="88" t="str">
        <x:f>IF(C441="","",MAX(0,SUMIFS(SONDERZAHLUNGEN!$E$9:$E$128,SONDERZAHLUNGEN!$B$9:$B$128,C441,SONDERZAHLUNGEN!$C$9:$C$128,A441,SONDERZAHLUNGEN!$H$9:$H$128,"OK",SONDERZAHLUNGEN!$F$9:$F$128,"Ja")-G441))</x:f>
      </x:c>
    </x:row>
    <x:row r="442" ht="19" customHeight="1">
      <x:c r="A442" s="90" t="n">
        <x:f>MONATSBUDGET!$A$29</x:f>
        <x:v>46874</x:v>
      </x:c>
      <x:c r="B442" t="n">
        <x:f>3</x:f>
        <x:v>3</x:v>
      </x:c>
      <x:c r="C442" t="str">
        <x:f>IF($N$11="","",$N$11)</x:f>
      </x:c>
      <x:c r="D442" s="88" t="str">
        <x:f>IF(C442="","",I422)</x:f>
      </x:c>
      <x:c r="E442" s="88" t="str">
        <x:f>IF(C442="","",ROUND(D442*$P$11/12,2))</x:f>
      </x:c>
      <x:c r="F442" s="88" t="str">
        <x:f>IF(C442="","",MIN(D442+E442,$Q$11))</x:f>
      </x:c>
      <x:c r="G442" s="88" t="str">
        <x:f>IF(C442="","",MIN(MAX(0,D442+E442-F442),SUMIFS(SONDERZAHLUNGEN!$E$9:$E$128,SONDERZAHLUNGEN!$B$9:$B$128,C442,SONDERZAHLUNGEN!$C$9:$C$128,A442,SONDERZAHLUNGEN!$H$9:$H$128,"OK",SONDERZAHLUNGEN!$F$9:$F$128,"Ja")))</x:f>
      </x:c>
      <x:c r="H442" s="88" t="str">
        <x:f>IF(C442="","",MIN(MAX(0,D442+E442-F442-G442),MAX(0,IF(MONATSBUDGET!$C$29="",0,MONATSBUDGET!$C$29)-SUM(F440:F459)-SUM(H440:H441))))</x:f>
      </x:c>
      <x:c r="I442" s="88" t="str">
        <x:f>IF(C442="","",MAX(0,ROUND(D442+E442-F442-G442-H442,2)))</x:f>
      </x:c>
      <x:c r="J442" s="88" t="str">
        <x:f>IF(C442="","",F442+G442+H442)</x:f>
      </x:c>
      <x:c r="K442" s="88" t="str">
        <x:f>IF(C442="","",MAX(0,SUMIFS(SONDERZAHLUNGEN!$E$9:$E$128,SONDERZAHLUNGEN!$B$9:$B$128,C442,SONDERZAHLUNGEN!$C$9:$C$128,A442,SONDERZAHLUNGEN!$H$9:$H$128,"OK",SONDERZAHLUNGEN!$F$9:$F$128,"Ja")-G442))</x:f>
      </x:c>
    </x:row>
    <x:row r="443" ht="19" customHeight="1">
      <x:c r="A443" s="90" t="n">
        <x:f>MONATSBUDGET!$A$29</x:f>
        <x:v>46874</x:v>
      </x:c>
      <x:c r="B443" t="n">
        <x:f>4</x:f>
        <x:v>4</x:v>
      </x:c>
      <x:c r="C443" t="str">
        <x:f>IF($N$12="","",$N$12)</x:f>
      </x:c>
      <x:c r="D443" s="88" t="str">
        <x:f>IF(C443="","",I423)</x:f>
      </x:c>
      <x:c r="E443" s="88" t="str">
        <x:f>IF(C443="","",ROUND(D443*$P$12/12,2))</x:f>
      </x:c>
      <x:c r="F443" s="88" t="str">
        <x:f>IF(C443="","",MIN(D443+E443,$Q$12))</x:f>
      </x:c>
      <x:c r="G443" s="88" t="str">
        <x:f>IF(C443="","",MIN(MAX(0,D443+E443-F443),SUMIFS(SONDERZAHLUNGEN!$E$9:$E$128,SONDERZAHLUNGEN!$B$9:$B$128,C443,SONDERZAHLUNGEN!$C$9:$C$128,A443,SONDERZAHLUNGEN!$H$9:$H$128,"OK",SONDERZAHLUNGEN!$F$9:$F$128,"Ja")))</x:f>
      </x:c>
      <x:c r="H443" s="88" t="str">
        <x:f>IF(C443="","",MIN(MAX(0,D443+E443-F443-G443),MAX(0,IF(MONATSBUDGET!$C$29="",0,MONATSBUDGET!$C$29)-SUM(F440:F459)-SUM(H440:H442))))</x:f>
      </x:c>
      <x:c r="I443" s="88" t="str">
        <x:f>IF(C443="","",MAX(0,ROUND(D443+E443-F443-G443-H443,2)))</x:f>
      </x:c>
      <x:c r="J443" s="88" t="str">
        <x:f>IF(C443="","",F443+G443+H443)</x:f>
      </x:c>
      <x:c r="K443" s="88" t="str">
        <x:f>IF(C443="","",MAX(0,SUMIFS(SONDERZAHLUNGEN!$E$9:$E$128,SONDERZAHLUNGEN!$B$9:$B$128,C443,SONDERZAHLUNGEN!$C$9:$C$128,A443,SONDERZAHLUNGEN!$H$9:$H$128,"OK",SONDERZAHLUNGEN!$F$9:$F$128,"Ja")-G443))</x:f>
      </x:c>
    </x:row>
    <x:row r="444" ht="19" customHeight="1">
      <x:c r="A444" s="90" t="n">
        <x:f>MONATSBUDGET!$A$29</x:f>
        <x:v>46874</x:v>
      </x:c>
      <x:c r="B444" t="n">
        <x:f>5</x:f>
        <x:v>5</x:v>
      </x:c>
      <x:c r="C444" t="str">
        <x:f>IF($N$13="","",$N$13)</x:f>
      </x:c>
      <x:c r="D444" s="88" t="str">
        <x:f>IF(C444="","",I424)</x:f>
      </x:c>
      <x:c r="E444" s="88" t="str">
        <x:f>IF(C444="","",ROUND(D444*$P$13/12,2))</x:f>
      </x:c>
      <x:c r="F444" s="88" t="str">
        <x:f>IF(C444="","",MIN(D444+E444,$Q$13))</x:f>
      </x:c>
      <x:c r="G444" s="88" t="str">
        <x:f>IF(C444="","",MIN(MAX(0,D444+E444-F444),SUMIFS(SONDERZAHLUNGEN!$E$9:$E$128,SONDERZAHLUNGEN!$B$9:$B$128,C444,SONDERZAHLUNGEN!$C$9:$C$128,A444,SONDERZAHLUNGEN!$H$9:$H$128,"OK",SONDERZAHLUNGEN!$F$9:$F$128,"Ja")))</x:f>
      </x:c>
      <x:c r="H444" s="88" t="str">
        <x:f>IF(C444="","",MIN(MAX(0,D444+E444-F444-G444),MAX(0,IF(MONATSBUDGET!$C$29="",0,MONATSBUDGET!$C$29)-SUM(F440:F459)-SUM(H440:H443))))</x:f>
      </x:c>
      <x:c r="I444" s="88" t="str">
        <x:f>IF(C444="","",MAX(0,ROUND(D444+E444-F444-G444-H444,2)))</x:f>
      </x:c>
      <x:c r="J444" s="88" t="str">
        <x:f>IF(C444="","",F444+G444+H444)</x:f>
      </x:c>
      <x:c r="K444" s="88" t="str">
        <x:f>IF(C444="","",MAX(0,SUMIFS(SONDERZAHLUNGEN!$E$9:$E$128,SONDERZAHLUNGEN!$B$9:$B$128,C444,SONDERZAHLUNGEN!$C$9:$C$128,A444,SONDERZAHLUNGEN!$H$9:$H$128,"OK",SONDERZAHLUNGEN!$F$9:$F$128,"Ja")-G444))</x:f>
      </x:c>
    </x:row>
    <x:row r="445" ht="19" customHeight="1">
      <x:c r="A445" s="90" t="n">
        <x:f>MONATSBUDGET!$A$29</x:f>
        <x:v>46874</x:v>
      </x:c>
      <x:c r="B445" t="n">
        <x:f>6</x:f>
        <x:v>6</x:v>
      </x:c>
      <x:c r="C445" t="str">
        <x:f>IF($N$14="","",$N$14)</x:f>
      </x:c>
      <x:c r="D445" s="88" t="str">
        <x:f>IF(C445="","",I425)</x:f>
      </x:c>
      <x:c r="E445" s="88" t="str">
        <x:f>IF(C445="","",ROUND(D445*$P$14/12,2))</x:f>
      </x:c>
      <x:c r="F445" s="88" t="str">
        <x:f>IF(C445="","",MIN(D445+E445,$Q$14))</x:f>
      </x:c>
      <x:c r="G445" s="88" t="str">
        <x:f>IF(C445="","",MIN(MAX(0,D445+E445-F445),SUMIFS(SONDERZAHLUNGEN!$E$9:$E$128,SONDERZAHLUNGEN!$B$9:$B$128,C445,SONDERZAHLUNGEN!$C$9:$C$128,A445,SONDERZAHLUNGEN!$H$9:$H$128,"OK",SONDERZAHLUNGEN!$F$9:$F$128,"Ja")))</x:f>
      </x:c>
      <x:c r="H445" s="88" t="str">
        <x:f>IF(C445="","",MIN(MAX(0,D445+E445-F445-G445),MAX(0,IF(MONATSBUDGET!$C$29="",0,MONATSBUDGET!$C$29)-SUM(F440:F459)-SUM(H440:H444))))</x:f>
      </x:c>
      <x:c r="I445" s="88" t="str">
        <x:f>IF(C445="","",MAX(0,ROUND(D445+E445-F445-G445-H445,2)))</x:f>
      </x:c>
      <x:c r="J445" s="88" t="str">
        <x:f>IF(C445="","",F445+G445+H445)</x:f>
      </x:c>
      <x:c r="K445" s="88" t="str">
        <x:f>IF(C445="","",MAX(0,SUMIFS(SONDERZAHLUNGEN!$E$9:$E$128,SONDERZAHLUNGEN!$B$9:$B$128,C445,SONDERZAHLUNGEN!$C$9:$C$128,A445,SONDERZAHLUNGEN!$H$9:$H$128,"OK",SONDERZAHLUNGEN!$F$9:$F$128,"Ja")-G445))</x:f>
      </x:c>
    </x:row>
    <x:row r="446" ht="19" customHeight="1">
      <x:c r="A446" s="90" t="n">
        <x:f>MONATSBUDGET!$A$29</x:f>
        <x:v>46874</x:v>
      </x:c>
      <x:c r="B446" t="n">
        <x:f>7</x:f>
        <x:v>7</x:v>
      </x:c>
      <x:c r="C446" t="str">
        <x:f>IF($N$15="","",$N$15)</x:f>
      </x:c>
      <x:c r="D446" s="88" t="str">
        <x:f>IF(C446="","",I426)</x:f>
      </x:c>
      <x:c r="E446" s="88" t="str">
        <x:f>IF(C446="","",ROUND(D446*$P$15/12,2))</x:f>
      </x:c>
      <x:c r="F446" s="88" t="str">
        <x:f>IF(C446="","",MIN(D446+E446,$Q$15))</x:f>
      </x:c>
      <x:c r="G446" s="88" t="str">
        <x:f>IF(C446="","",MIN(MAX(0,D446+E446-F446),SUMIFS(SONDERZAHLUNGEN!$E$9:$E$128,SONDERZAHLUNGEN!$B$9:$B$128,C446,SONDERZAHLUNGEN!$C$9:$C$128,A446,SONDERZAHLUNGEN!$H$9:$H$128,"OK",SONDERZAHLUNGEN!$F$9:$F$128,"Ja")))</x:f>
      </x:c>
      <x:c r="H446" s="88" t="str">
        <x:f>IF(C446="","",MIN(MAX(0,D446+E446-F446-G446),MAX(0,IF(MONATSBUDGET!$C$29="",0,MONATSBUDGET!$C$29)-SUM(F440:F459)-SUM(H440:H445))))</x:f>
      </x:c>
      <x:c r="I446" s="88" t="str">
        <x:f>IF(C446="","",MAX(0,ROUND(D446+E446-F446-G446-H446,2)))</x:f>
      </x:c>
      <x:c r="J446" s="88" t="str">
        <x:f>IF(C446="","",F446+G446+H446)</x:f>
      </x:c>
      <x:c r="K446" s="88" t="str">
        <x:f>IF(C446="","",MAX(0,SUMIFS(SONDERZAHLUNGEN!$E$9:$E$128,SONDERZAHLUNGEN!$B$9:$B$128,C446,SONDERZAHLUNGEN!$C$9:$C$128,A446,SONDERZAHLUNGEN!$H$9:$H$128,"OK",SONDERZAHLUNGEN!$F$9:$F$128,"Ja")-G446))</x:f>
      </x:c>
    </x:row>
    <x:row r="447" ht="19" customHeight="1">
      <x:c r="A447" s="90" t="n">
        <x:f>MONATSBUDGET!$A$29</x:f>
        <x:v>46874</x:v>
      </x:c>
      <x:c r="B447" t="n">
        <x:f>8</x:f>
        <x:v>8</x:v>
      </x:c>
      <x:c r="C447" t="str">
        <x:f>IF($N$16="","",$N$16)</x:f>
      </x:c>
      <x:c r="D447" s="88" t="str">
        <x:f>IF(C447="","",I427)</x:f>
      </x:c>
      <x:c r="E447" s="88" t="str">
        <x:f>IF(C447="","",ROUND(D447*$P$16/12,2))</x:f>
      </x:c>
      <x:c r="F447" s="88" t="str">
        <x:f>IF(C447="","",MIN(D447+E447,$Q$16))</x:f>
      </x:c>
      <x:c r="G447" s="88" t="str">
        <x:f>IF(C447="","",MIN(MAX(0,D447+E447-F447),SUMIFS(SONDERZAHLUNGEN!$E$9:$E$128,SONDERZAHLUNGEN!$B$9:$B$128,C447,SONDERZAHLUNGEN!$C$9:$C$128,A447,SONDERZAHLUNGEN!$H$9:$H$128,"OK",SONDERZAHLUNGEN!$F$9:$F$128,"Ja")))</x:f>
      </x:c>
      <x:c r="H447" s="88" t="str">
        <x:f>IF(C447="","",MIN(MAX(0,D447+E447-F447-G447),MAX(0,IF(MONATSBUDGET!$C$29="",0,MONATSBUDGET!$C$29)-SUM(F440:F459)-SUM(H440:H446))))</x:f>
      </x:c>
      <x:c r="I447" s="88" t="str">
        <x:f>IF(C447="","",MAX(0,ROUND(D447+E447-F447-G447-H447,2)))</x:f>
      </x:c>
      <x:c r="J447" s="88" t="str">
        <x:f>IF(C447="","",F447+G447+H447)</x:f>
      </x:c>
      <x:c r="K447" s="88" t="str">
        <x:f>IF(C447="","",MAX(0,SUMIFS(SONDERZAHLUNGEN!$E$9:$E$128,SONDERZAHLUNGEN!$B$9:$B$128,C447,SONDERZAHLUNGEN!$C$9:$C$128,A447,SONDERZAHLUNGEN!$H$9:$H$128,"OK",SONDERZAHLUNGEN!$F$9:$F$128,"Ja")-G447))</x:f>
      </x:c>
    </x:row>
    <x:row r="448" ht="19" customHeight="1">
      <x:c r="A448" s="90" t="n">
        <x:f>MONATSBUDGET!$A$29</x:f>
        <x:v>46874</x:v>
      </x:c>
      <x:c r="B448" t="n">
        <x:f>9</x:f>
        <x:v>9</x:v>
      </x:c>
      <x:c r="C448" t="str">
        <x:f>IF($N$17="","",$N$17)</x:f>
      </x:c>
      <x:c r="D448" s="88" t="str">
        <x:f>IF(C448="","",I428)</x:f>
      </x:c>
      <x:c r="E448" s="88" t="str">
        <x:f>IF(C448="","",ROUND(D448*$P$17/12,2))</x:f>
      </x:c>
      <x:c r="F448" s="88" t="str">
        <x:f>IF(C448="","",MIN(D448+E448,$Q$17))</x:f>
      </x:c>
      <x:c r="G448" s="88" t="str">
        <x:f>IF(C448="","",MIN(MAX(0,D448+E448-F448),SUMIFS(SONDERZAHLUNGEN!$E$9:$E$128,SONDERZAHLUNGEN!$B$9:$B$128,C448,SONDERZAHLUNGEN!$C$9:$C$128,A448,SONDERZAHLUNGEN!$H$9:$H$128,"OK",SONDERZAHLUNGEN!$F$9:$F$128,"Ja")))</x:f>
      </x:c>
      <x:c r="H448" s="88" t="str">
        <x:f>IF(C448="","",MIN(MAX(0,D448+E448-F448-G448),MAX(0,IF(MONATSBUDGET!$C$29="",0,MONATSBUDGET!$C$29)-SUM(F440:F459)-SUM(H440:H447))))</x:f>
      </x:c>
      <x:c r="I448" s="88" t="str">
        <x:f>IF(C448="","",MAX(0,ROUND(D448+E448-F448-G448-H448,2)))</x:f>
      </x:c>
      <x:c r="J448" s="88" t="str">
        <x:f>IF(C448="","",F448+G448+H448)</x:f>
      </x:c>
      <x:c r="K448" s="88" t="str">
        <x:f>IF(C448="","",MAX(0,SUMIFS(SONDERZAHLUNGEN!$E$9:$E$128,SONDERZAHLUNGEN!$B$9:$B$128,C448,SONDERZAHLUNGEN!$C$9:$C$128,A448,SONDERZAHLUNGEN!$H$9:$H$128,"OK",SONDERZAHLUNGEN!$F$9:$F$128,"Ja")-G448))</x:f>
      </x:c>
    </x:row>
    <x:row r="449" ht="19" customHeight="1">
      <x:c r="A449" s="90" t="n">
        <x:f>MONATSBUDGET!$A$29</x:f>
        <x:v>46874</x:v>
      </x:c>
      <x:c r="B449" t="n">
        <x:f>10</x:f>
        <x:v>10</x:v>
      </x:c>
      <x:c r="C449" t="str">
        <x:f>IF($N$18="","",$N$18)</x:f>
      </x:c>
      <x:c r="D449" s="88" t="str">
        <x:f>IF(C449="","",I429)</x:f>
      </x:c>
      <x:c r="E449" s="88" t="str">
        <x:f>IF(C449="","",ROUND(D449*$P$18/12,2))</x:f>
      </x:c>
      <x:c r="F449" s="88" t="str">
        <x:f>IF(C449="","",MIN(D449+E449,$Q$18))</x:f>
      </x:c>
      <x:c r="G449" s="88" t="str">
        <x:f>IF(C449="","",MIN(MAX(0,D449+E449-F449),SUMIFS(SONDERZAHLUNGEN!$E$9:$E$128,SONDERZAHLUNGEN!$B$9:$B$128,C449,SONDERZAHLUNGEN!$C$9:$C$128,A449,SONDERZAHLUNGEN!$H$9:$H$128,"OK",SONDERZAHLUNGEN!$F$9:$F$128,"Ja")))</x:f>
      </x:c>
      <x:c r="H449" s="88" t="str">
        <x:f>IF(C449="","",MIN(MAX(0,D449+E449-F449-G449),MAX(0,IF(MONATSBUDGET!$C$29="",0,MONATSBUDGET!$C$29)-SUM(F440:F459)-SUM(H440:H448))))</x:f>
      </x:c>
      <x:c r="I449" s="88" t="str">
        <x:f>IF(C449="","",MAX(0,ROUND(D449+E449-F449-G449-H449,2)))</x:f>
      </x:c>
      <x:c r="J449" s="88" t="str">
        <x:f>IF(C449="","",F449+G449+H449)</x:f>
      </x:c>
      <x:c r="K449" s="88" t="str">
        <x:f>IF(C449="","",MAX(0,SUMIFS(SONDERZAHLUNGEN!$E$9:$E$128,SONDERZAHLUNGEN!$B$9:$B$128,C449,SONDERZAHLUNGEN!$C$9:$C$128,A449,SONDERZAHLUNGEN!$H$9:$H$128,"OK",SONDERZAHLUNGEN!$F$9:$F$128,"Ja")-G449))</x:f>
      </x:c>
    </x:row>
    <x:row r="450" ht="19" customHeight="1">
      <x:c r="A450" s="90" t="n">
        <x:f>MONATSBUDGET!$A$29</x:f>
        <x:v>46874</x:v>
      </x:c>
      <x:c r="B450" t="n">
        <x:f>11</x:f>
        <x:v>11</x:v>
      </x:c>
      <x:c r="C450" t="str">
        <x:f>IF($N$19="","",$N$19)</x:f>
      </x:c>
      <x:c r="D450" s="88" t="str">
        <x:f>IF(C450="","",I430)</x:f>
      </x:c>
      <x:c r="E450" s="88" t="str">
        <x:f>IF(C450="","",ROUND(D450*$P$19/12,2))</x:f>
      </x:c>
      <x:c r="F450" s="88" t="str">
        <x:f>IF(C450="","",MIN(D450+E450,$Q$19))</x:f>
      </x:c>
      <x:c r="G450" s="88" t="str">
        <x:f>IF(C450="","",MIN(MAX(0,D450+E450-F450),SUMIFS(SONDERZAHLUNGEN!$E$9:$E$128,SONDERZAHLUNGEN!$B$9:$B$128,C450,SONDERZAHLUNGEN!$C$9:$C$128,A450,SONDERZAHLUNGEN!$H$9:$H$128,"OK",SONDERZAHLUNGEN!$F$9:$F$128,"Ja")))</x:f>
      </x:c>
      <x:c r="H450" s="88" t="str">
        <x:f>IF(C450="","",MIN(MAX(0,D450+E450-F450-G450),MAX(0,IF(MONATSBUDGET!$C$29="",0,MONATSBUDGET!$C$29)-SUM(F440:F459)-SUM(H440:H449))))</x:f>
      </x:c>
      <x:c r="I450" s="88" t="str">
        <x:f>IF(C450="","",MAX(0,ROUND(D450+E450-F450-G450-H450,2)))</x:f>
      </x:c>
      <x:c r="J450" s="88" t="str">
        <x:f>IF(C450="","",F450+G450+H450)</x:f>
      </x:c>
      <x:c r="K450" s="88" t="str">
        <x:f>IF(C450="","",MAX(0,SUMIFS(SONDERZAHLUNGEN!$E$9:$E$128,SONDERZAHLUNGEN!$B$9:$B$128,C450,SONDERZAHLUNGEN!$C$9:$C$128,A450,SONDERZAHLUNGEN!$H$9:$H$128,"OK",SONDERZAHLUNGEN!$F$9:$F$128,"Ja")-G450))</x:f>
      </x:c>
    </x:row>
    <x:row r="451" ht="19" customHeight="1">
      <x:c r="A451" s="90" t="n">
        <x:f>MONATSBUDGET!$A$29</x:f>
        <x:v>46874</x:v>
      </x:c>
      <x:c r="B451" t="n">
        <x:f>12</x:f>
        <x:v>12</x:v>
      </x:c>
      <x:c r="C451" t="str">
        <x:f>IF($N$20="","",$N$20)</x:f>
      </x:c>
      <x:c r="D451" s="88" t="str">
        <x:f>IF(C451="","",I431)</x:f>
      </x:c>
      <x:c r="E451" s="88" t="str">
        <x:f>IF(C451="","",ROUND(D451*$P$20/12,2))</x:f>
      </x:c>
      <x:c r="F451" s="88" t="str">
        <x:f>IF(C451="","",MIN(D451+E451,$Q$20))</x:f>
      </x:c>
      <x:c r="G451" s="88" t="str">
        <x:f>IF(C451="","",MIN(MAX(0,D451+E451-F451),SUMIFS(SONDERZAHLUNGEN!$E$9:$E$128,SONDERZAHLUNGEN!$B$9:$B$128,C451,SONDERZAHLUNGEN!$C$9:$C$128,A451,SONDERZAHLUNGEN!$H$9:$H$128,"OK",SONDERZAHLUNGEN!$F$9:$F$128,"Ja")))</x:f>
      </x:c>
      <x:c r="H451" s="88" t="str">
        <x:f>IF(C451="","",MIN(MAX(0,D451+E451-F451-G451),MAX(0,IF(MONATSBUDGET!$C$29="",0,MONATSBUDGET!$C$29)-SUM(F440:F459)-SUM(H440:H450))))</x:f>
      </x:c>
      <x:c r="I451" s="88" t="str">
        <x:f>IF(C451="","",MAX(0,ROUND(D451+E451-F451-G451-H451,2)))</x:f>
      </x:c>
      <x:c r="J451" s="88" t="str">
        <x:f>IF(C451="","",F451+G451+H451)</x:f>
      </x:c>
      <x:c r="K451" s="88" t="str">
        <x:f>IF(C451="","",MAX(0,SUMIFS(SONDERZAHLUNGEN!$E$9:$E$128,SONDERZAHLUNGEN!$B$9:$B$128,C451,SONDERZAHLUNGEN!$C$9:$C$128,A451,SONDERZAHLUNGEN!$H$9:$H$128,"OK",SONDERZAHLUNGEN!$F$9:$F$128,"Ja")-G451))</x:f>
      </x:c>
    </x:row>
    <x:row r="452" ht="19" customHeight="1">
      <x:c r="A452" s="90" t="n">
        <x:f>MONATSBUDGET!$A$29</x:f>
        <x:v>46874</x:v>
      </x:c>
      <x:c r="B452" t="n">
        <x:f>13</x:f>
        <x:v>13</x:v>
      </x:c>
      <x:c r="C452" t="str">
        <x:f>IF($N$21="","",$N$21)</x:f>
      </x:c>
      <x:c r="D452" s="88" t="str">
        <x:f>IF(C452="","",I432)</x:f>
      </x:c>
      <x:c r="E452" s="88" t="str">
        <x:f>IF(C452="","",ROUND(D452*$P$21/12,2))</x:f>
      </x:c>
      <x:c r="F452" s="88" t="str">
        <x:f>IF(C452="","",MIN(D452+E452,$Q$21))</x:f>
      </x:c>
      <x:c r="G452" s="88" t="str">
        <x:f>IF(C452="","",MIN(MAX(0,D452+E452-F452),SUMIFS(SONDERZAHLUNGEN!$E$9:$E$128,SONDERZAHLUNGEN!$B$9:$B$128,C452,SONDERZAHLUNGEN!$C$9:$C$128,A452,SONDERZAHLUNGEN!$H$9:$H$128,"OK",SONDERZAHLUNGEN!$F$9:$F$128,"Ja")))</x:f>
      </x:c>
      <x:c r="H452" s="88" t="str">
        <x:f>IF(C452="","",MIN(MAX(0,D452+E452-F452-G452),MAX(0,IF(MONATSBUDGET!$C$29="",0,MONATSBUDGET!$C$29)-SUM(F440:F459)-SUM(H440:H451))))</x:f>
      </x:c>
      <x:c r="I452" s="88" t="str">
        <x:f>IF(C452="","",MAX(0,ROUND(D452+E452-F452-G452-H452,2)))</x:f>
      </x:c>
      <x:c r="J452" s="88" t="str">
        <x:f>IF(C452="","",F452+G452+H452)</x:f>
      </x:c>
      <x:c r="K452" s="88" t="str">
        <x:f>IF(C452="","",MAX(0,SUMIFS(SONDERZAHLUNGEN!$E$9:$E$128,SONDERZAHLUNGEN!$B$9:$B$128,C452,SONDERZAHLUNGEN!$C$9:$C$128,A452,SONDERZAHLUNGEN!$H$9:$H$128,"OK",SONDERZAHLUNGEN!$F$9:$F$128,"Ja")-G452))</x:f>
      </x:c>
    </x:row>
    <x:row r="453" ht="19" customHeight="1">
      <x:c r="A453" s="90" t="n">
        <x:f>MONATSBUDGET!$A$29</x:f>
        <x:v>46874</x:v>
      </x:c>
      <x:c r="B453" t="n">
        <x:f>14</x:f>
        <x:v>14</x:v>
      </x:c>
      <x:c r="C453" t="str">
        <x:f>IF($N$22="","",$N$22)</x:f>
      </x:c>
      <x:c r="D453" s="88" t="str">
        <x:f>IF(C453="","",I433)</x:f>
      </x:c>
      <x:c r="E453" s="88" t="str">
        <x:f>IF(C453="","",ROUND(D453*$P$22/12,2))</x:f>
      </x:c>
      <x:c r="F453" s="88" t="str">
        <x:f>IF(C453="","",MIN(D453+E453,$Q$22))</x:f>
      </x:c>
      <x:c r="G453" s="88" t="str">
        <x:f>IF(C453="","",MIN(MAX(0,D453+E453-F453),SUMIFS(SONDERZAHLUNGEN!$E$9:$E$128,SONDERZAHLUNGEN!$B$9:$B$128,C453,SONDERZAHLUNGEN!$C$9:$C$128,A453,SONDERZAHLUNGEN!$H$9:$H$128,"OK",SONDERZAHLUNGEN!$F$9:$F$128,"Ja")))</x:f>
      </x:c>
      <x:c r="H453" s="88" t="str">
        <x:f>IF(C453="","",MIN(MAX(0,D453+E453-F453-G453),MAX(0,IF(MONATSBUDGET!$C$29="",0,MONATSBUDGET!$C$29)-SUM(F440:F459)-SUM(H440:H452))))</x:f>
      </x:c>
      <x:c r="I453" s="88" t="str">
        <x:f>IF(C453="","",MAX(0,ROUND(D453+E453-F453-G453-H453,2)))</x:f>
      </x:c>
      <x:c r="J453" s="88" t="str">
        <x:f>IF(C453="","",F453+G453+H453)</x:f>
      </x:c>
      <x:c r="K453" s="88" t="str">
        <x:f>IF(C453="","",MAX(0,SUMIFS(SONDERZAHLUNGEN!$E$9:$E$128,SONDERZAHLUNGEN!$B$9:$B$128,C453,SONDERZAHLUNGEN!$C$9:$C$128,A453,SONDERZAHLUNGEN!$H$9:$H$128,"OK",SONDERZAHLUNGEN!$F$9:$F$128,"Ja")-G453))</x:f>
      </x:c>
    </x:row>
    <x:row r="454" ht="19" customHeight="1">
      <x:c r="A454" s="90" t="n">
        <x:f>MONATSBUDGET!$A$29</x:f>
        <x:v>46874</x:v>
      </x:c>
      <x:c r="B454" t="n">
        <x:f>15</x:f>
        <x:v>15</x:v>
      </x:c>
      <x:c r="C454" t="str">
        <x:f>IF($N$23="","",$N$23)</x:f>
      </x:c>
      <x:c r="D454" s="88" t="str">
        <x:f>IF(C454="","",I434)</x:f>
      </x:c>
      <x:c r="E454" s="88" t="str">
        <x:f>IF(C454="","",ROUND(D454*$P$23/12,2))</x:f>
      </x:c>
      <x:c r="F454" s="88" t="str">
        <x:f>IF(C454="","",MIN(D454+E454,$Q$23))</x:f>
      </x:c>
      <x:c r="G454" s="88" t="str">
        <x:f>IF(C454="","",MIN(MAX(0,D454+E454-F454),SUMIFS(SONDERZAHLUNGEN!$E$9:$E$128,SONDERZAHLUNGEN!$B$9:$B$128,C454,SONDERZAHLUNGEN!$C$9:$C$128,A454,SONDERZAHLUNGEN!$H$9:$H$128,"OK",SONDERZAHLUNGEN!$F$9:$F$128,"Ja")))</x:f>
      </x:c>
      <x:c r="H454" s="88" t="str">
        <x:f>IF(C454="","",MIN(MAX(0,D454+E454-F454-G454),MAX(0,IF(MONATSBUDGET!$C$29="",0,MONATSBUDGET!$C$29)-SUM(F440:F459)-SUM(H440:H453))))</x:f>
      </x:c>
      <x:c r="I454" s="88" t="str">
        <x:f>IF(C454="","",MAX(0,ROUND(D454+E454-F454-G454-H454,2)))</x:f>
      </x:c>
      <x:c r="J454" s="88" t="str">
        <x:f>IF(C454="","",F454+G454+H454)</x:f>
      </x:c>
      <x:c r="K454" s="88" t="str">
        <x:f>IF(C454="","",MAX(0,SUMIFS(SONDERZAHLUNGEN!$E$9:$E$128,SONDERZAHLUNGEN!$B$9:$B$128,C454,SONDERZAHLUNGEN!$C$9:$C$128,A454,SONDERZAHLUNGEN!$H$9:$H$128,"OK",SONDERZAHLUNGEN!$F$9:$F$128,"Ja")-G454))</x:f>
      </x:c>
    </x:row>
    <x:row r="455" ht="19" customHeight="1">
      <x:c r="A455" s="90" t="n">
        <x:f>MONATSBUDGET!$A$29</x:f>
        <x:v>46874</x:v>
      </x:c>
      <x:c r="B455" t="n">
        <x:f>16</x:f>
        <x:v>16</x:v>
      </x:c>
      <x:c r="C455" t="str">
        <x:f>IF($N$24="","",$N$24)</x:f>
      </x:c>
      <x:c r="D455" s="88" t="str">
        <x:f>IF(C455="","",I435)</x:f>
      </x:c>
      <x:c r="E455" s="88" t="str">
        <x:f>IF(C455="","",ROUND(D455*$P$24/12,2))</x:f>
      </x:c>
      <x:c r="F455" s="88" t="str">
        <x:f>IF(C455="","",MIN(D455+E455,$Q$24))</x:f>
      </x:c>
      <x:c r="G455" s="88" t="str">
        <x:f>IF(C455="","",MIN(MAX(0,D455+E455-F455),SUMIFS(SONDERZAHLUNGEN!$E$9:$E$128,SONDERZAHLUNGEN!$B$9:$B$128,C455,SONDERZAHLUNGEN!$C$9:$C$128,A455,SONDERZAHLUNGEN!$H$9:$H$128,"OK",SONDERZAHLUNGEN!$F$9:$F$128,"Ja")))</x:f>
      </x:c>
      <x:c r="H455" s="88" t="str">
        <x:f>IF(C455="","",MIN(MAX(0,D455+E455-F455-G455),MAX(0,IF(MONATSBUDGET!$C$29="",0,MONATSBUDGET!$C$29)-SUM(F440:F459)-SUM(H440:H454))))</x:f>
      </x:c>
      <x:c r="I455" s="88" t="str">
        <x:f>IF(C455="","",MAX(0,ROUND(D455+E455-F455-G455-H455,2)))</x:f>
      </x:c>
      <x:c r="J455" s="88" t="str">
        <x:f>IF(C455="","",F455+G455+H455)</x:f>
      </x:c>
      <x:c r="K455" s="88" t="str">
        <x:f>IF(C455="","",MAX(0,SUMIFS(SONDERZAHLUNGEN!$E$9:$E$128,SONDERZAHLUNGEN!$B$9:$B$128,C455,SONDERZAHLUNGEN!$C$9:$C$128,A455,SONDERZAHLUNGEN!$H$9:$H$128,"OK",SONDERZAHLUNGEN!$F$9:$F$128,"Ja")-G455))</x:f>
      </x:c>
    </x:row>
    <x:row r="456" ht="19" customHeight="1">
      <x:c r="A456" s="90" t="n">
        <x:f>MONATSBUDGET!$A$29</x:f>
        <x:v>46874</x:v>
      </x:c>
      <x:c r="B456" t="n">
        <x:f>17</x:f>
        <x:v>17</x:v>
      </x:c>
      <x:c r="C456" t="str">
        <x:f>IF($N$25="","",$N$25)</x:f>
      </x:c>
      <x:c r="D456" s="88" t="str">
        <x:f>IF(C456="","",I436)</x:f>
      </x:c>
      <x:c r="E456" s="88" t="str">
        <x:f>IF(C456="","",ROUND(D456*$P$25/12,2))</x:f>
      </x:c>
      <x:c r="F456" s="88" t="str">
        <x:f>IF(C456="","",MIN(D456+E456,$Q$25))</x:f>
      </x:c>
      <x:c r="G456" s="88" t="str">
        <x:f>IF(C456="","",MIN(MAX(0,D456+E456-F456),SUMIFS(SONDERZAHLUNGEN!$E$9:$E$128,SONDERZAHLUNGEN!$B$9:$B$128,C456,SONDERZAHLUNGEN!$C$9:$C$128,A456,SONDERZAHLUNGEN!$H$9:$H$128,"OK",SONDERZAHLUNGEN!$F$9:$F$128,"Ja")))</x:f>
      </x:c>
      <x:c r="H456" s="88" t="str">
        <x:f>IF(C456="","",MIN(MAX(0,D456+E456-F456-G456),MAX(0,IF(MONATSBUDGET!$C$29="",0,MONATSBUDGET!$C$29)-SUM(F440:F459)-SUM(H440:H455))))</x:f>
      </x:c>
      <x:c r="I456" s="88" t="str">
        <x:f>IF(C456="","",MAX(0,ROUND(D456+E456-F456-G456-H456,2)))</x:f>
      </x:c>
      <x:c r="J456" s="88" t="str">
        <x:f>IF(C456="","",F456+G456+H456)</x:f>
      </x:c>
      <x:c r="K456" s="88" t="str">
        <x:f>IF(C456="","",MAX(0,SUMIFS(SONDERZAHLUNGEN!$E$9:$E$128,SONDERZAHLUNGEN!$B$9:$B$128,C456,SONDERZAHLUNGEN!$C$9:$C$128,A456,SONDERZAHLUNGEN!$H$9:$H$128,"OK",SONDERZAHLUNGEN!$F$9:$F$128,"Ja")-G456))</x:f>
      </x:c>
    </x:row>
    <x:row r="457" ht="19" customHeight="1">
      <x:c r="A457" s="90" t="n">
        <x:f>MONATSBUDGET!$A$29</x:f>
        <x:v>46874</x:v>
      </x:c>
      <x:c r="B457" t="n">
        <x:f>18</x:f>
        <x:v>18</x:v>
      </x:c>
      <x:c r="C457" t="str">
        <x:f>IF($N$26="","",$N$26)</x:f>
      </x:c>
      <x:c r="D457" s="88" t="str">
        <x:f>IF(C457="","",I437)</x:f>
      </x:c>
      <x:c r="E457" s="88" t="str">
        <x:f>IF(C457="","",ROUND(D457*$P$26/12,2))</x:f>
      </x:c>
      <x:c r="F457" s="88" t="str">
        <x:f>IF(C457="","",MIN(D457+E457,$Q$26))</x:f>
      </x:c>
      <x:c r="G457" s="88" t="str">
        <x:f>IF(C457="","",MIN(MAX(0,D457+E457-F457),SUMIFS(SONDERZAHLUNGEN!$E$9:$E$128,SONDERZAHLUNGEN!$B$9:$B$128,C457,SONDERZAHLUNGEN!$C$9:$C$128,A457,SONDERZAHLUNGEN!$H$9:$H$128,"OK",SONDERZAHLUNGEN!$F$9:$F$128,"Ja")))</x:f>
      </x:c>
      <x:c r="H457" s="88" t="str">
        <x:f>IF(C457="","",MIN(MAX(0,D457+E457-F457-G457),MAX(0,IF(MONATSBUDGET!$C$29="",0,MONATSBUDGET!$C$29)-SUM(F440:F459)-SUM(H440:H456))))</x:f>
      </x:c>
      <x:c r="I457" s="88" t="str">
        <x:f>IF(C457="","",MAX(0,ROUND(D457+E457-F457-G457-H457,2)))</x:f>
      </x:c>
      <x:c r="J457" s="88" t="str">
        <x:f>IF(C457="","",F457+G457+H457)</x:f>
      </x:c>
      <x:c r="K457" s="88" t="str">
        <x:f>IF(C457="","",MAX(0,SUMIFS(SONDERZAHLUNGEN!$E$9:$E$128,SONDERZAHLUNGEN!$B$9:$B$128,C457,SONDERZAHLUNGEN!$C$9:$C$128,A457,SONDERZAHLUNGEN!$H$9:$H$128,"OK",SONDERZAHLUNGEN!$F$9:$F$128,"Ja")-G457))</x:f>
      </x:c>
    </x:row>
    <x:row r="458" ht="19" customHeight="1">
      <x:c r="A458" s="90" t="n">
        <x:f>MONATSBUDGET!$A$29</x:f>
        <x:v>46874</x:v>
      </x:c>
      <x:c r="B458" t="n">
        <x:f>19</x:f>
        <x:v>19</x:v>
      </x:c>
      <x:c r="C458" t="str">
        <x:f>IF($N$27="","",$N$27)</x:f>
      </x:c>
      <x:c r="D458" s="88" t="str">
        <x:f>IF(C458="","",I438)</x:f>
      </x:c>
      <x:c r="E458" s="88" t="str">
        <x:f>IF(C458="","",ROUND(D458*$P$27/12,2))</x:f>
      </x:c>
      <x:c r="F458" s="88" t="str">
        <x:f>IF(C458="","",MIN(D458+E458,$Q$27))</x:f>
      </x:c>
      <x:c r="G458" s="88" t="str">
        <x:f>IF(C458="","",MIN(MAX(0,D458+E458-F458),SUMIFS(SONDERZAHLUNGEN!$E$9:$E$128,SONDERZAHLUNGEN!$B$9:$B$128,C458,SONDERZAHLUNGEN!$C$9:$C$128,A458,SONDERZAHLUNGEN!$H$9:$H$128,"OK",SONDERZAHLUNGEN!$F$9:$F$128,"Ja")))</x:f>
      </x:c>
      <x:c r="H458" s="88" t="str">
        <x:f>IF(C458="","",MIN(MAX(0,D458+E458-F458-G458),MAX(0,IF(MONATSBUDGET!$C$29="",0,MONATSBUDGET!$C$29)-SUM(F440:F459)-SUM(H440:H457))))</x:f>
      </x:c>
      <x:c r="I458" s="88" t="str">
        <x:f>IF(C458="","",MAX(0,ROUND(D458+E458-F458-G458-H458,2)))</x:f>
      </x:c>
      <x:c r="J458" s="88" t="str">
        <x:f>IF(C458="","",F458+G458+H458)</x:f>
      </x:c>
      <x:c r="K458" s="88" t="str">
        <x:f>IF(C458="","",MAX(0,SUMIFS(SONDERZAHLUNGEN!$E$9:$E$128,SONDERZAHLUNGEN!$B$9:$B$128,C458,SONDERZAHLUNGEN!$C$9:$C$128,A458,SONDERZAHLUNGEN!$H$9:$H$128,"OK",SONDERZAHLUNGEN!$F$9:$F$128,"Ja")-G458))</x:f>
      </x:c>
    </x:row>
    <x:row r="459" ht="19" customHeight="1">
      <x:c r="A459" s="90" t="n">
        <x:f>MONATSBUDGET!$A$29</x:f>
        <x:v>46874</x:v>
      </x:c>
      <x:c r="B459" t="n">
        <x:f>20</x:f>
        <x:v>20</x:v>
      </x:c>
      <x:c r="C459" t="str">
        <x:f>IF($N$28="","",$N$28)</x:f>
      </x:c>
      <x:c r="D459" s="88" t="str">
        <x:f>IF(C459="","",I439)</x:f>
      </x:c>
      <x:c r="E459" s="88" t="str">
        <x:f>IF(C459="","",ROUND(D459*$P$28/12,2))</x:f>
      </x:c>
      <x:c r="F459" s="88" t="str">
        <x:f>IF(C459="","",MIN(D459+E459,$Q$28))</x:f>
      </x:c>
      <x:c r="G459" s="88" t="str">
        <x:f>IF(C459="","",MIN(MAX(0,D459+E459-F459),SUMIFS(SONDERZAHLUNGEN!$E$9:$E$128,SONDERZAHLUNGEN!$B$9:$B$128,C459,SONDERZAHLUNGEN!$C$9:$C$128,A459,SONDERZAHLUNGEN!$H$9:$H$128,"OK",SONDERZAHLUNGEN!$F$9:$F$128,"Ja")))</x:f>
      </x:c>
      <x:c r="H459" s="88" t="str">
        <x:f>IF(C459="","",MIN(MAX(0,D459+E459-F459-G459),MAX(0,IF(MONATSBUDGET!$C$29="",0,MONATSBUDGET!$C$29)-SUM(F440:F459)-SUM(H440:H458))))</x:f>
      </x:c>
      <x:c r="I459" s="88" t="str">
        <x:f>IF(C459="","",MAX(0,ROUND(D459+E459-F459-G459-H459,2)))</x:f>
      </x:c>
      <x:c r="J459" s="88" t="str">
        <x:f>IF(C459="","",F459+G459+H459)</x:f>
      </x:c>
      <x:c r="K459" s="88" t="str">
        <x:f>IF(C459="","",MAX(0,SUMIFS(SONDERZAHLUNGEN!$E$9:$E$128,SONDERZAHLUNGEN!$B$9:$B$128,C459,SONDERZAHLUNGEN!$C$9:$C$128,A459,SONDERZAHLUNGEN!$H$9:$H$128,"OK",SONDERZAHLUNGEN!$F$9:$F$128,"Ja")-G459))</x:f>
      </x:c>
    </x:row>
    <x:row r="460" ht="19" customHeight="1">
      <x:c r="A460" s="90" t="n">
        <x:f>MONATSBUDGET!$A$30</x:f>
        <x:v>46905</x:v>
      </x:c>
      <x:c r="B460" t="n">
        <x:f>1</x:f>
        <x:v>1</x:v>
      </x:c>
      <x:c r="C460" t="str">
        <x:f>IF($N$9="","",$N$9)</x:f>
      </x:c>
      <x:c r="D460" s="88" t="str">
        <x:f>IF(C460="","",I440)</x:f>
      </x:c>
      <x:c r="E460" s="88" t="str">
        <x:f>IF(C460="","",ROUND(D460*$P$9/12,2))</x:f>
      </x:c>
      <x:c r="F460" s="88" t="str">
        <x:f>IF(C460="","",MIN(D460+E460,$Q$9))</x:f>
      </x:c>
      <x:c r="G460" s="88" t="str">
        <x:f>IF(C460="","",MIN(MAX(0,D460+E460-F460),SUMIFS(SONDERZAHLUNGEN!$E$9:$E$128,SONDERZAHLUNGEN!$B$9:$B$128,C460,SONDERZAHLUNGEN!$C$9:$C$128,A460,SONDERZAHLUNGEN!$H$9:$H$128,"OK",SONDERZAHLUNGEN!$F$9:$F$128,"Ja")))</x:f>
      </x:c>
      <x:c r="H460" s="88" t="str">
        <x:f>IF(C460="","",MIN(MAX(0,D460+E460-F460-G460),MAX(0,IF(MONATSBUDGET!$C$30="",0,MONATSBUDGET!$C$30)-SUM(F460:F479)-0)))</x:f>
      </x:c>
      <x:c r="I460" s="88" t="str">
        <x:f>IF(C460="","",MAX(0,ROUND(D460+E460-F460-G460-H460,2)))</x:f>
      </x:c>
      <x:c r="J460" s="88" t="str">
        <x:f>IF(C460="","",F460+G460+H460)</x:f>
      </x:c>
      <x:c r="K460" s="88" t="str">
        <x:f>IF(C460="","",MAX(0,SUMIFS(SONDERZAHLUNGEN!$E$9:$E$128,SONDERZAHLUNGEN!$B$9:$B$128,C460,SONDERZAHLUNGEN!$C$9:$C$128,A460,SONDERZAHLUNGEN!$H$9:$H$128,"OK",SONDERZAHLUNGEN!$F$9:$F$128,"Ja")-G460))</x:f>
      </x:c>
    </x:row>
    <x:row r="461" ht="19" customHeight="1">
      <x:c r="A461" s="90" t="n">
        <x:f>MONATSBUDGET!$A$30</x:f>
        <x:v>46905</x:v>
      </x:c>
      <x:c r="B461" t="n">
        <x:f>2</x:f>
        <x:v>2</x:v>
      </x:c>
      <x:c r="C461" t="str">
        <x:f>IF($N$10="","",$N$10)</x:f>
      </x:c>
      <x:c r="D461" s="88" t="str">
        <x:f>IF(C461="","",I441)</x:f>
      </x:c>
      <x:c r="E461" s="88" t="str">
        <x:f>IF(C461="","",ROUND(D461*$P$10/12,2))</x:f>
      </x:c>
      <x:c r="F461" s="88" t="str">
        <x:f>IF(C461="","",MIN(D461+E461,$Q$10))</x:f>
      </x:c>
      <x:c r="G461" s="88" t="str">
        <x:f>IF(C461="","",MIN(MAX(0,D461+E461-F461),SUMIFS(SONDERZAHLUNGEN!$E$9:$E$128,SONDERZAHLUNGEN!$B$9:$B$128,C461,SONDERZAHLUNGEN!$C$9:$C$128,A461,SONDERZAHLUNGEN!$H$9:$H$128,"OK",SONDERZAHLUNGEN!$F$9:$F$128,"Ja")))</x:f>
      </x:c>
      <x:c r="H461" s="88" t="str">
        <x:f>IF(C461="","",MIN(MAX(0,D461+E461-F461-G461),MAX(0,IF(MONATSBUDGET!$C$30="",0,MONATSBUDGET!$C$30)-SUM(F460:F479)-SUM(H460:H460))))</x:f>
      </x:c>
      <x:c r="I461" s="88" t="str">
        <x:f>IF(C461="","",MAX(0,ROUND(D461+E461-F461-G461-H461,2)))</x:f>
      </x:c>
      <x:c r="J461" s="88" t="str">
        <x:f>IF(C461="","",F461+G461+H461)</x:f>
      </x:c>
      <x:c r="K461" s="88" t="str">
        <x:f>IF(C461="","",MAX(0,SUMIFS(SONDERZAHLUNGEN!$E$9:$E$128,SONDERZAHLUNGEN!$B$9:$B$128,C461,SONDERZAHLUNGEN!$C$9:$C$128,A461,SONDERZAHLUNGEN!$H$9:$H$128,"OK",SONDERZAHLUNGEN!$F$9:$F$128,"Ja")-G461))</x:f>
      </x:c>
    </x:row>
    <x:row r="462" ht="19" customHeight="1">
      <x:c r="A462" s="90" t="n">
        <x:f>MONATSBUDGET!$A$30</x:f>
        <x:v>46905</x:v>
      </x:c>
      <x:c r="B462" t="n">
        <x:f>3</x:f>
        <x:v>3</x:v>
      </x:c>
      <x:c r="C462" t="str">
        <x:f>IF($N$11="","",$N$11)</x:f>
      </x:c>
      <x:c r="D462" s="88" t="str">
        <x:f>IF(C462="","",I442)</x:f>
      </x:c>
      <x:c r="E462" s="88" t="str">
        <x:f>IF(C462="","",ROUND(D462*$P$11/12,2))</x:f>
      </x:c>
      <x:c r="F462" s="88" t="str">
        <x:f>IF(C462="","",MIN(D462+E462,$Q$11))</x:f>
      </x:c>
      <x:c r="G462" s="88" t="str">
        <x:f>IF(C462="","",MIN(MAX(0,D462+E462-F462),SUMIFS(SONDERZAHLUNGEN!$E$9:$E$128,SONDERZAHLUNGEN!$B$9:$B$128,C462,SONDERZAHLUNGEN!$C$9:$C$128,A462,SONDERZAHLUNGEN!$H$9:$H$128,"OK",SONDERZAHLUNGEN!$F$9:$F$128,"Ja")))</x:f>
      </x:c>
      <x:c r="H462" s="88" t="str">
        <x:f>IF(C462="","",MIN(MAX(0,D462+E462-F462-G462),MAX(0,IF(MONATSBUDGET!$C$30="",0,MONATSBUDGET!$C$30)-SUM(F460:F479)-SUM(H460:H461))))</x:f>
      </x:c>
      <x:c r="I462" s="88" t="str">
        <x:f>IF(C462="","",MAX(0,ROUND(D462+E462-F462-G462-H462,2)))</x:f>
      </x:c>
      <x:c r="J462" s="88" t="str">
        <x:f>IF(C462="","",F462+G462+H462)</x:f>
      </x:c>
      <x:c r="K462" s="88" t="str">
        <x:f>IF(C462="","",MAX(0,SUMIFS(SONDERZAHLUNGEN!$E$9:$E$128,SONDERZAHLUNGEN!$B$9:$B$128,C462,SONDERZAHLUNGEN!$C$9:$C$128,A462,SONDERZAHLUNGEN!$H$9:$H$128,"OK",SONDERZAHLUNGEN!$F$9:$F$128,"Ja")-G462))</x:f>
      </x:c>
    </x:row>
    <x:row r="463" ht="19" customHeight="1">
      <x:c r="A463" s="90" t="n">
        <x:f>MONATSBUDGET!$A$30</x:f>
        <x:v>46905</x:v>
      </x:c>
      <x:c r="B463" t="n">
        <x:f>4</x:f>
        <x:v>4</x:v>
      </x:c>
      <x:c r="C463" t="str">
        <x:f>IF($N$12="","",$N$12)</x:f>
      </x:c>
      <x:c r="D463" s="88" t="str">
        <x:f>IF(C463="","",I443)</x:f>
      </x:c>
      <x:c r="E463" s="88" t="str">
        <x:f>IF(C463="","",ROUND(D463*$P$12/12,2))</x:f>
      </x:c>
      <x:c r="F463" s="88" t="str">
        <x:f>IF(C463="","",MIN(D463+E463,$Q$12))</x:f>
      </x:c>
      <x:c r="G463" s="88" t="str">
        <x:f>IF(C463="","",MIN(MAX(0,D463+E463-F463),SUMIFS(SONDERZAHLUNGEN!$E$9:$E$128,SONDERZAHLUNGEN!$B$9:$B$128,C463,SONDERZAHLUNGEN!$C$9:$C$128,A463,SONDERZAHLUNGEN!$H$9:$H$128,"OK",SONDERZAHLUNGEN!$F$9:$F$128,"Ja")))</x:f>
      </x:c>
      <x:c r="H463" s="88" t="str">
        <x:f>IF(C463="","",MIN(MAX(0,D463+E463-F463-G463),MAX(0,IF(MONATSBUDGET!$C$30="",0,MONATSBUDGET!$C$30)-SUM(F460:F479)-SUM(H460:H462))))</x:f>
      </x:c>
      <x:c r="I463" s="88" t="str">
        <x:f>IF(C463="","",MAX(0,ROUND(D463+E463-F463-G463-H463,2)))</x:f>
      </x:c>
      <x:c r="J463" s="88" t="str">
        <x:f>IF(C463="","",F463+G463+H463)</x:f>
      </x:c>
      <x:c r="K463" s="88" t="str">
        <x:f>IF(C463="","",MAX(0,SUMIFS(SONDERZAHLUNGEN!$E$9:$E$128,SONDERZAHLUNGEN!$B$9:$B$128,C463,SONDERZAHLUNGEN!$C$9:$C$128,A463,SONDERZAHLUNGEN!$H$9:$H$128,"OK",SONDERZAHLUNGEN!$F$9:$F$128,"Ja")-G463))</x:f>
      </x:c>
    </x:row>
    <x:row r="464" ht="19" customHeight="1">
      <x:c r="A464" s="90" t="n">
        <x:f>MONATSBUDGET!$A$30</x:f>
        <x:v>46905</x:v>
      </x:c>
      <x:c r="B464" t="n">
        <x:f>5</x:f>
        <x:v>5</x:v>
      </x:c>
      <x:c r="C464" t="str">
        <x:f>IF($N$13="","",$N$13)</x:f>
      </x:c>
      <x:c r="D464" s="88" t="str">
        <x:f>IF(C464="","",I444)</x:f>
      </x:c>
      <x:c r="E464" s="88" t="str">
        <x:f>IF(C464="","",ROUND(D464*$P$13/12,2))</x:f>
      </x:c>
      <x:c r="F464" s="88" t="str">
        <x:f>IF(C464="","",MIN(D464+E464,$Q$13))</x:f>
      </x:c>
      <x:c r="G464" s="88" t="str">
        <x:f>IF(C464="","",MIN(MAX(0,D464+E464-F464),SUMIFS(SONDERZAHLUNGEN!$E$9:$E$128,SONDERZAHLUNGEN!$B$9:$B$128,C464,SONDERZAHLUNGEN!$C$9:$C$128,A464,SONDERZAHLUNGEN!$H$9:$H$128,"OK",SONDERZAHLUNGEN!$F$9:$F$128,"Ja")))</x:f>
      </x:c>
      <x:c r="H464" s="88" t="str">
        <x:f>IF(C464="","",MIN(MAX(0,D464+E464-F464-G464),MAX(0,IF(MONATSBUDGET!$C$30="",0,MONATSBUDGET!$C$30)-SUM(F460:F479)-SUM(H460:H463))))</x:f>
      </x:c>
      <x:c r="I464" s="88" t="str">
        <x:f>IF(C464="","",MAX(0,ROUND(D464+E464-F464-G464-H464,2)))</x:f>
      </x:c>
      <x:c r="J464" s="88" t="str">
        <x:f>IF(C464="","",F464+G464+H464)</x:f>
      </x:c>
      <x:c r="K464" s="88" t="str">
        <x:f>IF(C464="","",MAX(0,SUMIFS(SONDERZAHLUNGEN!$E$9:$E$128,SONDERZAHLUNGEN!$B$9:$B$128,C464,SONDERZAHLUNGEN!$C$9:$C$128,A464,SONDERZAHLUNGEN!$H$9:$H$128,"OK",SONDERZAHLUNGEN!$F$9:$F$128,"Ja")-G464))</x:f>
      </x:c>
    </x:row>
    <x:row r="465" ht="19" customHeight="1">
      <x:c r="A465" s="90" t="n">
        <x:f>MONATSBUDGET!$A$30</x:f>
        <x:v>46905</x:v>
      </x:c>
      <x:c r="B465" t="n">
        <x:f>6</x:f>
        <x:v>6</x:v>
      </x:c>
      <x:c r="C465" t="str">
        <x:f>IF($N$14="","",$N$14)</x:f>
      </x:c>
      <x:c r="D465" s="88" t="str">
        <x:f>IF(C465="","",I445)</x:f>
      </x:c>
      <x:c r="E465" s="88" t="str">
        <x:f>IF(C465="","",ROUND(D465*$P$14/12,2))</x:f>
      </x:c>
      <x:c r="F465" s="88" t="str">
        <x:f>IF(C465="","",MIN(D465+E465,$Q$14))</x:f>
      </x:c>
      <x:c r="G465" s="88" t="str">
        <x:f>IF(C465="","",MIN(MAX(0,D465+E465-F465),SUMIFS(SONDERZAHLUNGEN!$E$9:$E$128,SONDERZAHLUNGEN!$B$9:$B$128,C465,SONDERZAHLUNGEN!$C$9:$C$128,A465,SONDERZAHLUNGEN!$H$9:$H$128,"OK",SONDERZAHLUNGEN!$F$9:$F$128,"Ja")))</x:f>
      </x:c>
      <x:c r="H465" s="88" t="str">
        <x:f>IF(C465="","",MIN(MAX(0,D465+E465-F465-G465),MAX(0,IF(MONATSBUDGET!$C$30="",0,MONATSBUDGET!$C$30)-SUM(F460:F479)-SUM(H460:H464))))</x:f>
      </x:c>
      <x:c r="I465" s="88" t="str">
        <x:f>IF(C465="","",MAX(0,ROUND(D465+E465-F465-G465-H465,2)))</x:f>
      </x:c>
      <x:c r="J465" s="88" t="str">
        <x:f>IF(C465="","",F465+G465+H465)</x:f>
      </x:c>
      <x:c r="K465" s="88" t="str">
        <x:f>IF(C465="","",MAX(0,SUMIFS(SONDERZAHLUNGEN!$E$9:$E$128,SONDERZAHLUNGEN!$B$9:$B$128,C465,SONDERZAHLUNGEN!$C$9:$C$128,A465,SONDERZAHLUNGEN!$H$9:$H$128,"OK",SONDERZAHLUNGEN!$F$9:$F$128,"Ja")-G465))</x:f>
      </x:c>
    </x:row>
    <x:row r="466" ht="19" customHeight="1">
      <x:c r="A466" s="90" t="n">
        <x:f>MONATSBUDGET!$A$30</x:f>
        <x:v>46905</x:v>
      </x:c>
      <x:c r="B466" t="n">
        <x:f>7</x:f>
        <x:v>7</x:v>
      </x:c>
      <x:c r="C466" t="str">
        <x:f>IF($N$15="","",$N$15)</x:f>
      </x:c>
      <x:c r="D466" s="88" t="str">
        <x:f>IF(C466="","",I446)</x:f>
      </x:c>
      <x:c r="E466" s="88" t="str">
        <x:f>IF(C466="","",ROUND(D466*$P$15/12,2))</x:f>
      </x:c>
      <x:c r="F466" s="88" t="str">
        <x:f>IF(C466="","",MIN(D466+E466,$Q$15))</x:f>
      </x:c>
      <x:c r="G466" s="88" t="str">
        <x:f>IF(C466="","",MIN(MAX(0,D466+E466-F466),SUMIFS(SONDERZAHLUNGEN!$E$9:$E$128,SONDERZAHLUNGEN!$B$9:$B$128,C466,SONDERZAHLUNGEN!$C$9:$C$128,A466,SONDERZAHLUNGEN!$H$9:$H$128,"OK",SONDERZAHLUNGEN!$F$9:$F$128,"Ja")))</x:f>
      </x:c>
      <x:c r="H466" s="88" t="str">
        <x:f>IF(C466="","",MIN(MAX(0,D466+E466-F466-G466),MAX(0,IF(MONATSBUDGET!$C$30="",0,MONATSBUDGET!$C$30)-SUM(F460:F479)-SUM(H460:H465))))</x:f>
      </x:c>
      <x:c r="I466" s="88" t="str">
        <x:f>IF(C466="","",MAX(0,ROUND(D466+E466-F466-G466-H466,2)))</x:f>
      </x:c>
      <x:c r="J466" s="88" t="str">
        <x:f>IF(C466="","",F466+G466+H466)</x:f>
      </x:c>
      <x:c r="K466" s="88" t="str">
        <x:f>IF(C466="","",MAX(0,SUMIFS(SONDERZAHLUNGEN!$E$9:$E$128,SONDERZAHLUNGEN!$B$9:$B$128,C466,SONDERZAHLUNGEN!$C$9:$C$128,A466,SONDERZAHLUNGEN!$H$9:$H$128,"OK",SONDERZAHLUNGEN!$F$9:$F$128,"Ja")-G466))</x:f>
      </x:c>
    </x:row>
    <x:row r="467" ht="19" customHeight="1">
      <x:c r="A467" s="90" t="n">
        <x:f>MONATSBUDGET!$A$30</x:f>
        <x:v>46905</x:v>
      </x:c>
      <x:c r="B467" t="n">
        <x:f>8</x:f>
        <x:v>8</x:v>
      </x:c>
      <x:c r="C467" t="str">
        <x:f>IF($N$16="","",$N$16)</x:f>
      </x:c>
      <x:c r="D467" s="88" t="str">
        <x:f>IF(C467="","",I447)</x:f>
      </x:c>
      <x:c r="E467" s="88" t="str">
        <x:f>IF(C467="","",ROUND(D467*$P$16/12,2))</x:f>
      </x:c>
      <x:c r="F467" s="88" t="str">
        <x:f>IF(C467="","",MIN(D467+E467,$Q$16))</x:f>
      </x:c>
      <x:c r="G467" s="88" t="str">
        <x:f>IF(C467="","",MIN(MAX(0,D467+E467-F467),SUMIFS(SONDERZAHLUNGEN!$E$9:$E$128,SONDERZAHLUNGEN!$B$9:$B$128,C467,SONDERZAHLUNGEN!$C$9:$C$128,A467,SONDERZAHLUNGEN!$H$9:$H$128,"OK",SONDERZAHLUNGEN!$F$9:$F$128,"Ja")))</x:f>
      </x:c>
      <x:c r="H467" s="88" t="str">
        <x:f>IF(C467="","",MIN(MAX(0,D467+E467-F467-G467),MAX(0,IF(MONATSBUDGET!$C$30="",0,MONATSBUDGET!$C$30)-SUM(F460:F479)-SUM(H460:H466))))</x:f>
      </x:c>
      <x:c r="I467" s="88" t="str">
        <x:f>IF(C467="","",MAX(0,ROUND(D467+E467-F467-G467-H467,2)))</x:f>
      </x:c>
      <x:c r="J467" s="88" t="str">
        <x:f>IF(C467="","",F467+G467+H467)</x:f>
      </x:c>
      <x:c r="K467" s="88" t="str">
        <x:f>IF(C467="","",MAX(0,SUMIFS(SONDERZAHLUNGEN!$E$9:$E$128,SONDERZAHLUNGEN!$B$9:$B$128,C467,SONDERZAHLUNGEN!$C$9:$C$128,A467,SONDERZAHLUNGEN!$H$9:$H$128,"OK",SONDERZAHLUNGEN!$F$9:$F$128,"Ja")-G467))</x:f>
      </x:c>
    </x:row>
    <x:row r="468" ht="19" customHeight="1">
      <x:c r="A468" s="90" t="n">
        <x:f>MONATSBUDGET!$A$30</x:f>
        <x:v>46905</x:v>
      </x:c>
      <x:c r="B468" t="n">
        <x:f>9</x:f>
        <x:v>9</x:v>
      </x:c>
      <x:c r="C468" t="str">
        <x:f>IF($N$17="","",$N$17)</x:f>
      </x:c>
      <x:c r="D468" s="88" t="str">
        <x:f>IF(C468="","",I448)</x:f>
      </x:c>
      <x:c r="E468" s="88" t="str">
        <x:f>IF(C468="","",ROUND(D468*$P$17/12,2))</x:f>
      </x:c>
      <x:c r="F468" s="88" t="str">
        <x:f>IF(C468="","",MIN(D468+E468,$Q$17))</x:f>
      </x:c>
      <x:c r="G468" s="88" t="str">
        <x:f>IF(C468="","",MIN(MAX(0,D468+E468-F468),SUMIFS(SONDERZAHLUNGEN!$E$9:$E$128,SONDERZAHLUNGEN!$B$9:$B$128,C468,SONDERZAHLUNGEN!$C$9:$C$128,A468,SONDERZAHLUNGEN!$H$9:$H$128,"OK",SONDERZAHLUNGEN!$F$9:$F$128,"Ja")))</x:f>
      </x:c>
      <x:c r="H468" s="88" t="str">
        <x:f>IF(C468="","",MIN(MAX(0,D468+E468-F468-G468),MAX(0,IF(MONATSBUDGET!$C$30="",0,MONATSBUDGET!$C$30)-SUM(F460:F479)-SUM(H460:H467))))</x:f>
      </x:c>
      <x:c r="I468" s="88" t="str">
        <x:f>IF(C468="","",MAX(0,ROUND(D468+E468-F468-G468-H468,2)))</x:f>
      </x:c>
      <x:c r="J468" s="88" t="str">
        <x:f>IF(C468="","",F468+G468+H468)</x:f>
      </x:c>
      <x:c r="K468" s="88" t="str">
        <x:f>IF(C468="","",MAX(0,SUMIFS(SONDERZAHLUNGEN!$E$9:$E$128,SONDERZAHLUNGEN!$B$9:$B$128,C468,SONDERZAHLUNGEN!$C$9:$C$128,A468,SONDERZAHLUNGEN!$H$9:$H$128,"OK",SONDERZAHLUNGEN!$F$9:$F$128,"Ja")-G468))</x:f>
      </x:c>
    </x:row>
    <x:row r="469" ht="19" customHeight="1">
      <x:c r="A469" s="90" t="n">
        <x:f>MONATSBUDGET!$A$30</x:f>
        <x:v>46905</x:v>
      </x:c>
      <x:c r="B469" t="n">
        <x:f>10</x:f>
        <x:v>10</x:v>
      </x:c>
      <x:c r="C469" t="str">
        <x:f>IF($N$18="","",$N$18)</x:f>
      </x:c>
      <x:c r="D469" s="88" t="str">
        <x:f>IF(C469="","",I449)</x:f>
      </x:c>
      <x:c r="E469" s="88" t="str">
        <x:f>IF(C469="","",ROUND(D469*$P$18/12,2))</x:f>
      </x:c>
      <x:c r="F469" s="88" t="str">
        <x:f>IF(C469="","",MIN(D469+E469,$Q$18))</x:f>
      </x:c>
      <x:c r="G469" s="88" t="str">
        <x:f>IF(C469="","",MIN(MAX(0,D469+E469-F469),SUMIFS(SONDERZAHLUNGEN!$E$9:$E$128,SONDERZAHLUNGEN!$B$9:$B$128,C469,SONDERZAHLUNGEN!$C$9:$C$128,A469,SONDERZAHLUNGEN!$H$9:$H$128,"OK",SONDERZAHLUNGEN!$F$9:$F$128,"Ja")))</x:f>
      </x:c>
      <x:c r="H469" s="88" t="str">
        <x:f>IF(C469="","",MIN(MAX(0,D469+E469-F469-G469),MAX(0,IF(MONATSBUDGET!$C$30="",0,MONATSBUDGET!$C$30)-SUM(F460:F479)-SUM(H460:H468))))</x:f>
      </x:c>
      <x:c r="I469" s="88" t="str">
        <x:f>IF(C469="","",MAX(0,ROUND(D469+E469-F469-G469-H469,2)))</x:f>
      </x:c>
      <x:c r="J469" s="88" t="str">
        <x:f>IF(C469="","",F469+G469+H469)</x:f>
      </x:c>
      <x:c r="K469" s="88" t="str">
        <x:f>IF(C469="","",MAX(0,SUMIFS(SONDERZAHLUNGEN!$E$9:$E$128,SONDERZAHLUNGEN!$B$9:$B$128,C469,SONDERZAHLUNGEN!$C$9:$C$128,A469,SONDERZAHLUNGEN!$H$9:$H$128,"OK",SONDERZAHLUNGEN!$F$9:$F$128,"Ja")-G469))</x:f>
      </x:c>
    </x:row>
    <x:row r="470" ht="19" customHeight="1">
      <x:c r="A470" s="90" t="n">
        <x:f>MONATSBUDGET!$A$30</x:f>
        <x:v>46905</x:v>
      </x:c>
      <x:c r="B470" t="n">
        <x:f>11</x:f>
        <x:v>11</x:v>
      </x:c>
      <x:c r="C470" t="str">
        <x:f>IF($N$19="","",$N$19)</x:f>
      </x:c>
      <x:c r="D470" s="88" t="str">
        <x:f>IF(C470="","",I450)</x:f>
      </x:c>
      <x:c r="E470" s="88" t="str">
        <x:f>IF(C470="","",ROUND(D470*$P$19/12,2))</x:f>
      </x:c>
      <x:c r="F470" s="88" t="str">
        <x:f>IF(C470="","",MIN(D470+E470,$Q$19))</x:f>
      </x:c>
      <x:c r="G470" s="88" t="str">
        <x:f>IF(C470="","",MIN(MAX(0,D470+E470-F470),SUMIFS(SONDERZAHLUNGEN!$E$9:$E$128,SONDERZAHLUNGEN!$B$9:$B$128,C470,SONDERZAHLUNGEN!$C$9:$C$128,A470,SONDERZAHLUNGEN!$H$9:$H$128,"OK",SONDERZAHLUNGEN!$F$9:$F$128,"Ja")))</x:f>
      </x:c>
      <x:c r="H470" s="88" t="str">
        <x:f>IF(C470="","",MIN(MAX(0,D470+E470-F470-G470),MAX(0,IF(MONATSBUDGET!$C$30="",0,MONATSBUDGET!$C$30)-SUM(F460:F479)-SUM(H460:H469))))</x:f>
      </x:c>
      <x:c r="I470" s="88" t="str">
        <x:f>IF(C470="","",MAX(0,ROUND(D470+E470-F470-G470-H470,2)))</x:f>
      </x:c>
      <x:c r="J470" s="88" t="str">
        <x:f>IF(C470="","",F470+G470+H470)</x:f>
      </x:c>
      <x:c r="K470" s="88" t="str">
        <x:f>IF(C470="","",MAX(0,SUMIFS(SONDERZAHLUNGEN!$E$9:$E$128,SONDERZAHLUNGEN!$B$9:$B$128,C470,SONDERZAHLUNGEN!$C$9:$C$128,A470,SONDERZAHLUNGEN!$H$9:$H$128,"OK",SONDERZAHLUNGEN!$F$9:$F$128,"Ja")-G470))</x:f>
      </x:c>
    </x:row>
    <x:row r="471" ht="19" customHeight="1">
      <x:c r="A471" s="90" t="n">
        <x:f>MONATSBUDGET!$A$30</x:f>
        <x:v>46905</x:v>
      </x:c>
      <x:c r="B471" t="n">
        <x:f>12</x:f>
        <x:v>12</x:v>
      </x:c>
      <x:c r="C471" t="str">
        <x:f>IF($N$20="","",$N$20)</x:f>
      </x:c>
      <x:c r="D471" s="88" t="str">
        <x:f>IF(C471="","",I451)</x:f>
      </x:c>
      <x:c r="E471" s="88" t="str">
        <x:f>IF(C471="","",ROUND(D471*$P$20/12,2))</x:f>
      </x:c>
      <x:c r="F471" s="88" t="str">
        <x:f>IF(C471="","",MIN(D471+E471,$Q$20))</x:f>
      </x:c>
      <x:c r="G471" s="88" t="str">
        <x:f>IF(C471="","",MIN(MAX(0,D471+E471-F471),SUMIFS(SONDERZAHLUNGEN!$E$9:$E$128,SONDERZAHLUNGEN!$B$9:$B$128,C471,SONDERZAHLUNGEN!$C$9:$C$128,A471,SONDERZAHLUNGEN!$H$9:$H$128,"OK",SONDERZAHLUNGEN!$F$9:$F$128,"Ja")))</x:f>
      </x:c>
      <x:c r="H471" s="88" t="str">
        <x:f>IF(C471="","",MIN(MAX(0,D471+E471-F471-G471),MAX(0,IF(MONATSBUDGET!$C$30="",0,MONATSBUDGET!$C$30)-SUM(F460:F479)-SUM(H460:H470))))</x:f>
      </x:c>
      <x:c r="I471" s="88" t="str">
        <x:f>IF(C471="","",MAX(0,ROUND(D471+E471-F471-G471-H471,2)))</x:f>
      </x:c>
      <x:c r="J471" s="88" t="str">
        <x:f>IF(C471="","",F471+G471+H471)</x:f>
      </x:c>
      <x:c r="K471" s="88" t="str">
        <x:f>IF(C471="","",MAX(0,SUMIFS(SONDERZAHLUNGEN!$E$9:$E$128,SONDERZAHLUNGEN!$B$9:$B$128,C471,SONDERZAHLUNGEN!$C$9:$C$128,A471,SONDERZAHLUNGEN!$H$9:$H$128,"OK",SONDERZAHLUNGEN!$F$9:$F$128,"Ja")-G471))</x:f>
      </x:c>
    </x:row>
    <x:row r="472" ht="19" customHeight="1">
      <x:c r="A472" s="90" t="n">
        <x:f>MONATSBUDGET!$A$30</x:f>
        <x:v>46905</x:v>
      </x:c>
      <x:c r="B472" t="n">
        <x:f>13</x:f>
        <x:v>13</x:v>
      </x:c>
      <x:c r="C472" t="str">
        <x:f>IF($N$21="","",$N$21)</x:f>
      </x:c>
      <x:c r="D472" s="88" t="str">
        <x:f>IF(C472="","",I452)</x:f>
      </x:c>
      <x:c r="E472" s="88" t="str">
        <x:f>IF(C472="","",ROUND(D472*$P$21/12,2))</x:f>
      </x:c>
      <x:c r="F472" s="88" t="str">
        <x:f>IF(C472="","",MIN(D472+E472,$Q$21))</x:f>
      </x:c>
      <x:c r="G472" s="88" t="str">
        <x:f>IF(C472="","",MIN(MAX(0,D472+E472-F472),SUMIFS(SONDERZAHLUNGEN!$E$9:$E$128,SONDERZAHLUNGEN!$B$9:$B$128,C472,SONDERZAHLUNGEN!$C$9:$C$128,A472,SONDERZAHLUNGEN!$H$9:$H$128,"OK",SONDERZAHLUNGEN!$F$9:$F$128,"Ja")))</x:f>
      </x:c>
      <x:c r="H472" s="88" t="str">
        <x:f>IF(C472="","",MIN(MAX(0,D472+E472-F472-G472),MAX(0,IF(MONATSBUDGET!$C$30="",0,MONATSBUDGET!$C$30)-SUM(F460:F479)-SUM(H460:H471))))</x:f>
      </x:c>
      <x:c r="I472" s="88" t="str">
        <x:f>IF(C472="","",MAX(0,ROUND(D472+E472-F472-G472-H472,2)))</x:f>
      </x:c>
      <x:c r="J472" s="88" t="str">
        <x:f>IF(C472="","",F472+G472+H472)</x:f>
      </x:c>
      <x:c r="K472" s="88" t="str">
        <x:f>IF(C472="","",MAX(0,SUMIFS(SONDERZAHLUNGEN!$E$9:$E$128,SONDERZAHLUNGEN!$B$9:$B$128,C472,SONDERZAHLUNGEN!$C$9:$C$128,A472,SONDERZAHLUNGEN!$H$9:$H$128,"OK",SONDERZAHLUNGEN!$F$9:$F$128,"Ja")-G472))</x:f>
      </x:c>
    </x:row>
    <x:row r="473" ht="19" customHeight="1">
      <x:c r="A473" s="90" t="n">
        <x:f>MONATSBUDGET!$A$30</x:f>
        <x:v>46905</x:v>
      </x:c>
      <x:c r="B473" t="n">
        <x:f>14</x:f>
        <x:v>14</x:v>
      </x:c>
      <x:c r="C473" t="str">
        <x:f>IF($N$22="","",$N$22)</x:f>
      </x:c>
      <x:c r="D473" s="88" t="str">
        <x:f>IF(C473="","",I453)</x:f>
      </x:c>
      <x:c r="E473" s="88" t="str">
        <x:f>IF(C473="","",ROUND(D473*$P$22/12,2))</x:f>
      </x:c>
      <x:c r="F473" s="88" t="str">
        <x:f>IF(C473="","",MIN(D473+E473,$Q$22))</x:f>
      </x:c>
      <x:c r="G473" s="88" t="str">
        <x:f>IF(C473="","",MIN(MAX(0,D473+E473-F473),SUMIFS(SONDERZAHLUNGEN!$E$9:$E$128,SONDERZAHLUNGEN!$B$9:$B$128,C473,SONDERZAHLUNGEN!$C$9:$C$128,A473,SONDERZAHLUNGEN!$H$9:$H$128,"OK",SONDERZAHLUNGEN!$F$9:$F$128,"Ja")))</x:f>
      </x:c>
      <x:c r="H473" s="88" t="str">
        <x:f>IF(C473="","",MIN(MAX(0,D473+E473-F473-G473),MAX(0,IF(MONATSBUDGET!$C$30="",0,MONATSBUDGET!$C$30)-SUM(F460:F479)-SUM(H460:H472))))</x:f>
      </x:c>
      <x:c r="I473" s="88" t="str">
        <x:f>IF(C473="","",MAX(0,ROUND(D473+E473-F473-G473-H473,2)))</x:f>
      </x:c>
      <x:c r="J473" s="88" t="str">
        <x:f>IF(C473="","",F473+G473+H473)</x:f>
      </x:c>
      <x:c r="K473" s="88" t="str">
        <x:f>IF(C473="","",MAX(0,SUMIFS(SONDERZAHLUNGEN!$E$9:$E$128,SONDERZAHLUNGEN!$B$9:$B$128,C473,SONDERZAHLUNGEN!$C$9:$C$128,A473,SONDERZAHLUNGEN!$H$9:$H$128,"OK",SONDERZAHLUNGEN!$F$9:$F$128,"Ja")-G473))</x:f>
      </x:c>
    </x:row>
    <x:row r="474" ht="19" customHeight="1">
      <x:c r="A474" s="90" t="n">
        <x:f>MONATSBUDGET!$A$30</x:f>
        <x:v>46905</x:v>
      </x:c>
      <x:c r="B474" t="n">
        <x:f>15</x:f>
        <x:v>15</x:v>
      </x:c>
      <x:c r="C474" t="str">
        <x:f>IF($N$23="","",$N$23)</x:f>
      </x:c>
      <x:c r="D474" s="88" t="str">
        <x:f>IF(C474="","",I454)</x:f>
      </x:c>
      <x:c r="E474" s="88" t="str">
        <x:f>IF(C474="","",ROUND(D474*$P$23/12,2))</x:f>
      </x:c>
      <x:c r="F474" s="88" t="str">
        <x:f>IF(C474="","",MIN(D474+E474,$Q$23))</x:f>
      </x:c>
      <x:c r="G474" s="88" t="str">
        <x:f>IF(C474="","",MIN(MAX(0,D474+E474-F474),SUMIFS(SONDERZAHLUNGEN!$E$9:$E$128,SONDERZAHLUNGEN!$B$9:$B$128,C474,SONDERZAHLUNGEN!$C$9:$C$128,A474,SONDERZAHLUNGEN!$H$9:$H$128,"OK",SONDERZAHLUNGEN!$F$9:$F$128,"Ja")))</x:f>
      </x:c>
      <x:c r="H474" s="88" t="str">
        <x:f>IF(C474="","",MIN(MAX(0,D474+E474-F474-G474),MAX(0,IF(MONATSBUDGET!$C$30="",0,MONATSBUDGET!$C$30)-SUM(F460:F479)-SUM(H460:H473))))</x:f>
      </x:c>
      <x:c r="I474" s="88" t="str">
        <x:f>IF(C474="","",MAX(0,ROUND(D474+E474-F474-G474-H474,2)))</x:f>
      </x:c>
      <x:c r="J474" s="88" t="str">
        <x:f>IF(C474="","",F474+G474+H474)</x:f>
      </x:c>
      <x:c r="K474" s="88" t="str">
        <x:f>IF(C474="","",MAX(0,SUMIFS(SONDERZAHLUNGEN!$E$9:$E$128,SONDERZAHLUNGEN!$B$9:$B$128,C474,SONDERZAHLUNGEN!$C$9:$C$128,A474,SONDERZAHLUNGEN!$H$9:$H$128,"OK",SONDERZAHLUNGEN!$F$9:$F$128,"Ja")-G474))</x:f>
      </x:c>
    </x:row>
    <x:row r="475" ht="19" customHeight="1">
      <x:c r="A475" s="90" t="n">
        <x:f>MONATSBUDGET!$A$30</x:f>
        <x:v>46905</x:v>
      </x:c>
      <x:c r="B475" t="n">
        <x:f>16</x:f>
        <x:v>16</x:v>
      </x:c>
      <x:c r="C475" t="str">
        <x:f>IF($N$24="","",$N$24)</x:f>
      </x:c>
      <x:c r="D475" s="88" t="str">
        <x:f>IF(C475="","",I455)</x:f>
      </x:c>
      <x:c r="E475" s="88" t="str">
        <x:f>IF(C475="","",ROUND(D475*$P$24/12,2))</x:f>
      </x:c>
      <x:c r="F475" s="88" t="str">
        <x:f>IF(C475="","",MIN(D475+E475,$Q$24))</x:f>
      </x:c>
      <x:c r="G475" s="88" t="str">
        <x:f>IF(C475="","",MIN(MAX(0,D475+E475-F475),SUMIFS(SONDERZAHLUNGEN!$E$9:$E$128,SONDERZAHLUNGEN!$B$9:$B$128,C475,SONDERZAHLUNGEN!$C$9:$C$128,A475,SONDERZAHLUNGEN!$H$9:$H$128,"OK",SONDERZAHLUNGEN!$F$9:$F$128,"Ja")))</x:f>
      </x:c>
      <x:c r="H475" s="88" t="str">
        <x:f>IF(C475="","",MIN(MAX(0,D475+E475-F475-G475),MAX(0,IF(MONATSBUDGET!$C$30="",0,MONATSBUDGET!$C$30)-SUM(F460:F479)-SUM(H460:H474))))</x:f>
      </x:c>
      <x:c r="I475" s="88" t="str">
        <x:f>IF(C475="","",MAX(0,ROUND(D475+E475-F475-G475-H475,2)))</x:f>
      </x:c>
      <x:c r="J475" s="88" t="str">
        <x:f>IF(C475="","",F475+G475+H475)</x:f>
      </x:c>
      <x:c r="K475" s="88" t="str">
        <x:f>IF(C475="","",MAX(0,SUMIFS(SONDERZAHLUNGEN!$E$9:$E$128,SONDERZAHLUNGEN!$B$9:$B$128,C475,SONDERZAHLUNGEN!$C$9:$C$128,A475,SONDERZAHLUNGEN!$H$9:$H$128,"OK",SONDERZAHLUNGEN!$F$9:$F$128,"Ja")-G475))</x:f>
      </x:c>
    </x:row>
    <x:row r="476" ht="19" customHeight="1">
      <x:c r="A476" s="90" t="n">
        <x:f>MONATSBUDGET!$A$30</x:f>
        <x:v>46905</x:v>
      </x:c>
      <x:c r="B476" t="n">
        <x:f>17</x:f>
        <x:v>17</x:v>
      </x:c>
      <x:c r="C476" t="str">
        <x:f>IF($N$25="","",$N$25)</x:f>
      </x:c>
      <x:c r="D476" s="88" t="str">
        <x:f>IF(C476="","",I456)</x:f>
      </x:c>
      <x:c r="E476" s="88" t="str">
        <x:f>IF(C476="","",ROUND(D476*$P$25/12,2))</x:f>
      </x:c>
      <x:c r="F476" s="88" t="str">
        <x:f>IF(C476="","",MIN(D476+E476,$Q$25))</x:f>
      </x:c>
      <x:c r="G476" s="88" t="str">
        <x:f>IF(C476="","",MIN(MAX(0,D476+E476-F476),SUMIFS(SONDERZAHLUNGEN!$E$9:$E$128,SONDERZAHLUNGEN!$B$9:$B$128,C476,SONDERZAHLUNGEN!$C$9:$C$128,A476,SONDERZAHLUNGEN!$H$9:$H$128,"OK",SONDERZAHLUNGEN!$F$9:$F$128,"Ja")))</x:f>
      </x:c>
      <x:c r="H476" s="88" t="str">
        <x:f>IF(C476="","",MIN(MAX(0,D476+E476-F476-G476),MAX(0,IF(MONATSBUDGET!$C$30="",0,MONATSBUDGET!$C$30)-SUM(F460:F479)-SUM(H460:H475))))</x:f>
      </x:c>
      <x:c r="I476" s="88" t="str">
        <x:f>IF(C476="","",MAX(0,ROUND(D476+E476-F476-G476-H476,2)))</x:f>
      </x:c>
      <x:c r="J476" s="88" t="str">
        <x:f>IF(C476="","",F476+G476+H476)</x:f>
      </x:c>
      <x:c r="K476" s="88" t="str">
        <x:f>IF(C476="","",MAX(0,SUMIFS(SONDERZAHLUNGEN!$E$9:$E$128,SONDERZAHLUNGEN!$B$9:$B$128,C476,SONDERZAHLUNGEN!$C$9:$C$128,A476,SONDERZAHLUNGEN!$H$9:$H$128,"OK",SONDERZAHLUNGEN!$F$9:$F$128,"Ja")-G476))</x:f>
      </x:c>
    </x:row>
    <x:row r="477" ht="19" customHeight="1">
      <x:c r="A477" s="90" t="n">
        <x:f>MONATSBUDGET!$A$30</x:f>
        <x:v>46905</x:v>
      </x:c>
      <x:c r="B477" t="n">
        <x:f>18</x:f>
        <x:v>18</x:v>
      </x:c>
      <x:c r="C477" t="str">
        <x:f>IF($N$26="","",$N$26)</x:f>
      </x:c>
      <x:c r="D477" s="88" t="str">
        <x:f>IF(C477="","",I457)</x:f>
      </x:c>
      <x:c r="E477" s="88" t="str">
        <x:f>IF(C477="","",ROUND(D477*$P$26/12,2))</x:f>
      </x:c>
      <x:c r="F477" s="88" t="str">
        <x:f>IF(C477="","",MIN(D477+E477,$Q$26))</x:f>
      </x:c>
      <x:c r="G477" s="88" t="str">
        <x:f>IF(C477="","",MIN(MAX(0,D477+E477-F477),SUMIFS(SONDERZAHLUNGEN!$E$9:$E$128,SONDERZAHLUNGEN!$B$9:$B$128,C477,SONDERZAHLUNGEN!$C$9:$C$128,A477,SONDERZAHLUNGEN!$H$9:$H$128,"OK",SONDERZAHLUNGEN!$F$9:$F$128,"Ja")))</x:f>
      </x:c>
      <x:c r="H477" s="88" t="str">
        <x:f>IF(C477="","",MIN(MAX(0,D477+E477-F477-G477),MAX(0,IF(MONATSBUDGET!$C$30="",0,MONATSBUDGET!$C$30)-SUM(F460:F479)-SUM(H460:H476))))</x:f>
      </x:c>
      <x:c r="I477" s="88" t="str">
        <x:f>IF(C477="","",MAX(0,ROUND(D477+E477-F477-G477-H477,2)))</x:f>
      </x:c>
      <x:c r="J477" s="88" t="str">
        <x:f>IF(C477="","",F477+G477+H477)</x:f>
      </x:c>
      <x:c r="K477" s="88" t="str">
        <x:f>IF(C477="","",MAX(0,SUMIFS(SONDERZAHLUNGEN!$E$9:$E$128,SONDERZAHLUNGEN!$B$9:$B$128,C477,SONDERZAHLUNGEN!$C$9:$C$128,A477,SONDERZAHLUNGEN!$H$9:$H$128,"OK",SONDERZAHLUNGEN!$F$9:$F$128,"Ja")-G477))</x:f>
      </x:c>
    </x:row>
    <x:row r="478" ht="19" customHeight="1">
      <x:c r="A478" s="90" t="n">
        <x:f>MONATSBUDGET!$A$30</x:f>
        <x:v>46905</x:v>
      </x:c>
      <x:c r="B478" t="n">
        <x:f>19</x:f>
        <x:v>19</x:v>
      </x:c>
      <x:c r="C478" t="str">
        <x:f>IF($N$27="","",$N$27)</x:f>
      </x:c>
      <x:c r="D478" s="88" t="str">
        <x:f>IF(C478="","",I458)</x:f>
      </x:c>
      <x:c r="E478" s="88" t="str">
        <x:f>IF(C478="","",ROUND(D478*$P$27/12,2))</x:f>
      </x:c>
      <x:c r="F478" s="88" t="str">
        <x:f>IF(C478="","",MIN(D478+E478,$Q$27))</x:f>
      </x:c>
      <x:c r="G478" s="88" t="str">
        <x:f>IF(C478="","",MIN(MAX(0,D478+E478-F478),SUMIFS(SONDERZAHLUNGEN!$E$9:$E$128,SONDERZAHLUNGEN!$B$9:$B$128,C478,SONDERZAHLUNGEN!$C$9:$C$128,A478,SONDERZAHLUNGEN!$H$9:$H$128,"OK",SONDERZAHLUNGEN!$F$9:$F$128,"Ja")))</x:f>
      </x:c>
      <x:c r="H478" s="88" t="str">
        <x:f>IF(C478="","",MIN(MAX(0,D478+E478-F478-G478),MAX(0,IF(MONATSBUDGET!$C$30="",0,MONATSBUDGET!$C$30)-SUM(F460:F479)-SUM(H460:H477))))</x:f>
      </x:c>
      <x:c r="I478" s="88" t="str">
        <x:f>IF(C478="","",MAX(0,ROUND(D478+E478-F478-G478-H478,2)))</x:f>
      </x:c>
      <x:c r="J478" s="88" t="str">
        <x:f>IF(C478="","",F478+G478+H478)</x:f>
      </x:c>
      <x:c r="K478" s="88" t="str">
        <x:f>IF(C478="","",MAX(0,SUMIFS(SONDERZAHLUNGEN!$E$9:$E$128,SONDERZAHLUNGEN!$B$9:$B$128,C478,SONDERZAHLUNGEN!$C$9:$C$128,A478,SONDERZAHLUNGEN!$H$9:$H$128,"OK",SONDERZAHLUNGEN!$F$9:$F$128,"Ja")-G478))</x:f>
      </x:c>
    </x:row>
    <x:row r="479" ht="19" customHeight="1">
      <x:c r="A479" s="90" t="n">
        <x:f>MONATSBUDGET!$A$30</x:f>
        <x:v>46905</x:v>
      </x:c>
      <x:c r="B479" t="n">
        <x:f>20</x:f>
        <x:v>20</x:v>
      </x:c>
      <x:c r="C479" t="str">
        <x:f>IF($N$28="","",$N$28)</x:f>
      </x:c>
      <x:c r="D479" s="88" t="str">
        <x:f>IF(C479="","",I459)</x:f>
      </x:c>
      <x:c r="E479" s="88" t="str">
        <x:f>IF(C479="","",ROUND(D479*$P$28/12,2))</x:f>
      </x:c>
      <x:c r="F479" s="88" t="str">
        <x:f>IF(C479="","",MIN(D479+E479,$Q$28))</x:f>
      </x:c>
      <x:c r="G479" s="88" t="str">
        <x:f>IF(C479="","",MIN(MAX(0,D479+E479-F479),SUMIFS(SONDERZAHLUNGEN!$E$9:$E$128,SONDERZAHLUNGEN!$B$9:$B$128,C479,SONDERZAHLUNGEN!$C$9:$C$128,A479,SONDERZAHLUNGEN!$H$9:$H$128,"OK",SONDERZAHLUNGEN!$F$9:$F$128,"Ja")))</x:f>
      </x:c>
      <x:c r="H479" s="88" t="str">
        <x:f>IF(C479="","",MIN(MAX(0,D479+E479-F479-G479),MAX(0,IF(MONATSBUDGET!$C$30="",0,MONATSBUDGET!$C$30)-SUM(F460:F479)-SUM(H460:H478))))</x:f>
      </x:c>
      <x:c r="I479" s="88" t="str">
        <x:f>IF(C479="","",MAX(0,ROUND(D479+E479-F479-G479-H479,2)))</x:f>
      </x:c>
      <x:c r="J479" s="88" t="str">
        <x:f>IF(C479="","",F479+G479+H479)</x:f>
      </x:c>
      <x:c r="K479" s="88" t="str">
        <x:f>IF(C479="","",MAX(0,SUMIFS(SONDERZAHLUNGEN!$E$9:$E$128,SONDERZAHLUNGEN!$B$9:$B$128,C479,SONDERZAHLUNGEN!$C$9:$C$128,A479,SONDERZAHLUNGEN!$H$9:$H$128,"OK",SONDERZAHLUNGEN!$F$9:$F$128,"Ja")-G479))</x:f>
      </x:c>
    </x:row>
    <x:row r="480" ht="19" customHeight="1">
      <x:c r="A480" s="90" t="n">
        <x:f>MONATSBUDGET!$A$31</x:f>
        <x:v>46935</x:v>
      </x:c>
      <x:c r="B480" t="n">
        <x:f>1</x:f>
        <x:v>1</x:v>
      </x:c>
      <x:c r="C480" t="str">
        <x:f>IF($N$9="","",$N$9)</x:f>
      </x:c>
      <x:c r="D480" s="88" t="str">
        <x:f>IF(C480="","",I460)</x:f>
      </x:c>
      <x:c r="E480" s="88" t="str">
        <x:f>IF(C480="","",ROUND(D480*$P$9/12,2))</x:f>
      </x:c>
      <x:c r="F480" s="88" t="str">
        <x:f>IF(C480="","",MIN(D480+E480,$Q$9))</x:f>
      </x:c>
      <x:c r="G480" s="88" t="str">
        <x:f>IF(C480="","",MIN(MAX(0,D480+E480-F480),SUMIFS(SONDERZAHLUNGEN!$E$9:$E$128,SONDERZAHLUNGEN!$B$9:$B$128,C480,SONDERZAHLUNGEN!$C$9:$C$128,A480,SONDERZAHLUNGEN!$H$9:$H$128,"OK",SONDERZAHLUNGEN!$F$9:$F$128,"Ja")))</x:f>
      </x:c>
      <x:c r="H480" s="88" t="str">
        <x:f>IF(C480="","",MIN(MAX(0,D480+E480-F480-G480),MAX(0,IF(MONATSBUDGET!$C$31="",0,MONATSBUDGET!$C$31)-SUM(F480:F499)-0)))</x:f>
      </x:c>
      <x:c r="I480" s="88" t="str">
        <x:f>IF(C480="","",MAX(0,ROUND(D480+E480-F480-G480-H480,2)))</x:f>
      </x:c>
      <x:c r="J480" s="88" t="str">
        <x:f>IF(C480="","",F480+G480+H480)</x:f>
      </x:c>
      <x:c r="K480" s="88" t="str">
        <x:f>IF(C480="","",MAX(0,SUMIFS(SONDERZAHLUNGEN!$E$9:$E$128,SONDERZAHLUNGEN!$B$9:$B$128,C480,SONDERZAHLUNGEN!$C$9:$C$128,A480,SONDERZAHLUNGEN!$H$9:$H$128,"OK",SONDERZAHLUNGEN!$F$9:$F$128,"Ja")-G480))</x:f>
      </x:c>
    </x:row>
    <x:row r="481" ht="19" customHeight="1">
      <x:c r="A481" s="90" t="n">
        <x:f>MONATSBUDGET!$A$31</x:f>
        <x:v>46935</x:v>
      </x:c>
      <x:c r="B481" t="n">
        <x:f>2</x:f>
        <x:v>2</x:v>
      </x:c>
      <x:c r="C481" t="str">
        <x:f>IF($N$10="","",$N$10)</x:f>
      </x:c>
      <x:c r="D481" s="88" t="str">
        <x:f>IF(C481="","",I461)</x:f>
      </x:c>
      <x:c r="E481" s="88" t="str">
        <x:f>IF(C481="","",ROUND(D481*$P$10/12,2))</x:f>
      </x:c>
      <x:c r="F481" s="88" t="str">
        <x:f>IF(C481="","",MIN(D481+E481,$Q$10))</x:f>
      </x:c>
      <x:c r="G481" s="88" t="str">
        <x:f>IF(C481="","",MIN(MAX(0,D481+E481-F481),SUMIFS(SONDERZAHLUNGEN!$E$9:$E$128,SONDERZAHLUNGEN!$B$9:$B$128,C481,SONDERZAHLUNGEN!$C$9:$C$128,A481,SONDERZAHLUNGEN!$H$9:$H$128,"OK",SONDERZAHLUNGEN!$F$9:$F$128,"Ja")))</x:f>
      </x:c>
      <x:c r="H481" s="88" t="str">
        <x:f>IF(C481="","",MIN(MAX(0,D481+E481-F481-G481),MAX(0,IF(MONATSBUDGET!$C$31="",0,MONATSBUDGET!$C$31)-SUM(F480:F499)-SUM(H480:H480))))</x:f>
      </x:c>
      <x:c r="I481" s="88" t="str">
        <x:f>IF(C481="","",MAX(0,ROUND(D481+E481-F481-G481-H481,2)))</x:f>
      </x:c>
      <x:c r="J481" s="88" t="str">
        <x:f>IF(C481="","",F481+G481+H481)</x:f>
      </x:c>
      <x:c r="K481" s="88" t="str">
        <x:f>IF(C481="","",MAX(0,SUMIFS(SONDERZAHLUNGEN!$E$9:$E$128,SONDERZAHLUNGEN!$B$9:$B$128,C481,SONDERZAHLUNGEN!$C$9:$C$128,A481,SONDERZAHLUNGEN!$H$9:$H$128,"OK",SONDERZAHLUNGEN!$F$9:$F$128,"Ja")-G481))</x:f>
      </x:c>
    </x:row>
    <x:row r="482" ht="19" customHeight="1">
      <x:c r="A482" s="90" t="n">
        <x:f>MONATSBUDGET!$A$31</x:f>
        <x:v>46935</x:v>
      </x:c>
      <x:c r="B482" t="n">
        <x:f>3</x:f>
        <x:v>3</x:v>
      </x:c>
      <x:c r="C482" t="str">
        <x:f>IF($N$11="","",$N$11)</x:f>
      </x:c>
      <x:c r="D482" s="88" t="str">
        <x:f>IF(C482="","",I462)</x:f>
      </x:c>
      <x:c r="E482" s="88" t="str">
        <x:f>IF(C482="","",ROUND(D482*$P$11/12,2))</x:f>
      </x:c>
      <x:c r="F482" s="88" t="str">
        <x:f>IF(C482="","",MIN(D482+E482,$Q$11))</x:f>
      </x:c>
      <x:c r="G482" s="88" t="str">
        <x:f>IF(C482="","",MIN(MAX(0,D482+E482-F482),SUMIFS(SONDERZAHLUNGEN!$E$9:$E$128,SONDERZAHLUNGEN!$B$9:$B$128,C482,SONDERZAHLUNGEN!$C$9:$C$128,A482,SONDERZAHLUNGEN!$H$9:$H$128,"OK",SONDERZAHLUNGEN!$F$9:$F$128,"Ja")))</x:f>
      </x:c>
      <x:c r="H482" s="88" t="str">
        <x:f>IF(C482="","",MIN(MAX(0,D482+E482-F482-G482),MAX(0,IF(MONATSBUDGET!$C$31="",0,MONATSBUDGET!$C$31)-SUM(F480:F499)-SUM(H480:H481))))</x:f>
      </x:c>
      <x:c r="I482" s="88" t="str">
        <x:f>IF(C482="","",MAX(0,ROUND(D482+E482-F482-G482-H482,2)))</x:f>
      </x:c>
      <x:c r="J482" s="88" t="str">
        <x:f>IF(C482="","",F482+G482+H482)</x:f>
      </x:c>
      <x:c r="K482" s="88" t="str">
        <x:f>IF(C482="","",MAX(0,SUMIFS(SONDERZAHLUNGEN!$E$9:$E$128,SONDERZAHLUNGEN!$B$9:$B$128,C482,SONDERZAHLUNGEN!$C$9:$C$128,A482,SONDERZAHLUNGEN!$H$9:$H$128,"OK",SONDERZAHLUNGEN!$F$9:$F$128,"Ja")-G482))</x:f>
      </x:c>
    </x:row>
    <x:row r="483" ht="19" customHeight="1">
      <x:c r="A483" s="90" t="n">
        <x:f>MONATSBUDGET!$A$31</x:f>
        <x:v>46935</x:v>
      </x:c>
      <x:c r="B483" t="n">
        <x:f>4</x:f>
        <x:v>4</x:v>
      </x:c>
      <x:c r="C483" t="str">
        <x:f>IF($N$12="","",$N$12)</x:f>
      </x:c>
      <x:c r="D483" s="88" t="str">
        <x:f>IF(C483="","",I463)</x:f>
      </x:c>
      <x:c r="E483" s="88" t="str">
        <x:f>IF(C483="","",ROUND(D483*$P$12/12,2))</x:f>
      </x:c>
      <x:c r="F483" s="88" t="str">
        <x:f>IF(C483="","",MIN(D483+E483,$Q$12))</x:f>
      </x:c>
      <x:c r="G483" s="88" t="str">
        <x:f>IF(C483="","",MIN(MAX(0,D483+E483-F483),SUMIFS(SONDERZAHLUNGEN!$E$9:$E$128,SONDERZAHLUNGEN!$B$9:$B$128,C483,SONDERZAHLUNGEN!$C$9:$C$128,A483,SONDERZAHLUNGEN!$H$9:$H$128,"OK",SONDERZAHLUNGEN!$F$9:$F$128,"Ja")))</x:f>
      </x:c>
      <x:c r="H483" s="88" t="str">
        <x:f>IF(C483="","",MIN(MAX(0,D483+E483-F483-G483),MAX(0,IF(MONATSBUDGET!$C$31="",0,MONATSBUDGET!$C$31)-SUM(F480:F499)-SUM(H480:H482))))</x:f>
      </x:c>
      <x:c r="I483" s="88" t="str">
        <x:f>IF(C483="","",MAX(0,ROUND(D483+E483-F483-G483-H483,2)))</x:f>
      </x:c>
      <x:c r="J483" s="88" t="str">
        <x:f>IF(C483="","",F483+G483+H483)</x:f>
      </x:c>
      <x:c r="K483" s="88" t="str">
        <x:f>IF(C483="","",MAX(0,SUMIFS(SONDERZAHLUNGEN!$E$9:$E$128,SONDERZAHLUNGEN!$B$9:$B$128,C483,SONDERZAHLUNGEN!$C$9:$C$128,A483,SONDERZAHLUNGEN!$H$9:$H$128,"OK",SONDERZAHLUNGEN!$F$9:$F$128,"Ja")-G483))</x:f>
      </x:c>
    </x:row>
    <x:row r="484" ht="19" customHeight="1">
      <x:c r="A484" s="90" t="n">
        <x:f>MONATSBUDGET!$A$31</x:f>
        <x:v>46935</x:v>
      </x:c>
      <x:c r="B484" t="n">
        <x:f>5</x:f>
        <x:v>5</x:v>
      </x:c>
      <x:c r="C484" t="str">
        <x:f>IF($N$13="","",$N$13)</x:f>
      </x:c>
      <x:c r="D484" s="88" t="str">
        <x:f>IF(C484="","",I464)</x:f>
      </x:c>
      <x:c r="E484" s="88" t="str">
        <x:f>IF(C484="","",ROUND(D484*$P$13/12,2))</x:f>
      </x:c>
      <x:c r="F484" s="88" t="str">
        <x:f>IF(C484="","",MIN(D484+E484,$Q$13))</x:f>
      </x:c>
      <x:c r="G484" s="88" t="str">
        <x:f>IF(C484="","",MIN(MAX(0,D484+E484-F484),SUMIFS(SONDERZAHLUNGEN!$E$9:$E$128,SONDERZAHLUNGEN!$B$9:$B$128,C484,SONDERZAHLUNGEN!$C$9:$C$128,A484,SONDERZAHLUNGEN!$H$9:$H$128,"OK",SONDERZAHLUNGEN!$F$9:$F$128,"Ja")))</x:f>
      </x:c>
      <x:c r="H484" s="88" t="str">
        <x:f>IF(C484="","",MIN(MAX(0,D484+E484-F484-G484),MAX(0,IF(MONATSBUDGET!$C$31="",0,MONATSBUDGET!$C$31)-SUM(F480:F499)-SUM(H480:H483))))</x:f>
      </x:c>
      <x:c r="I484" s="88" t="str">
        <x:f>IF(C484="","",MAX(0,ROUND(D484+E484-F484-G484-H484,2)))</x:f>
      </x:c>
      <x:c r="J484" s="88" t="str">
        <x:f>IF(C484="","",F484+G484+H484)</x:f>
      </x:c>
      <x:c r="K484" s="88" t="str">
        <x:f>IF(C484="","",MAX(0,SUMIFS(SONDERZAHLUNGEN!$E$9:$E$128,SONDERZAHLUNGEN!$B$9:$B$128,C484,SONDERZAHLUNGEN!$C$9:$C$128,A484,SONDERZAHLUNGEN!$H$9:$H$128,"OK",SONDERZAHLUNGEN!$F$9:$F$128,"Ja")-G484))</x:f>
      </x:c>
    </x:row>
    <x:row r="485" ht="19" customHeight="1">
      <x:c r="A485" s="90" t="n">
        <x:f>MONATSBUDGET!$A$31</x:f>
        <x:v>46935</x:v>
      </x:c>
      <x:c r="B485" t="n">
        <x:f>6</x:f>
        <x:v>6</x:v>
      </x:c>
      <x:c r="C485" t="str">
        <x:f>IF($N$14="","",$N$14)</x:f>
      </x:c>
      <x:c r="D485" s="88" t="str">
        <x:f>IF(C485="","",I465)</x:f>
      </x:c>
      <x:c r="E485" s="88" t="str">
        <x:f>IF(C485="","",ROUND(D485*$P$14/12,2))</x:f>
      </x:c>
      <x:c r="F485" s="88" t="str">
        <x:f>IF(C485="","",MIN(D485+E485,$Q$14))</x:f>
      </x:c>
      <x:c r="G485" s="88" t="str">
        <x:f>IF(C485="","",MIN(MAX(0,D485+E485-F485),SUMIFS(SONDERZAHLUNGEN!$E$9:$E$128,SONDERZAHLUNGEN!$B$9:$B$128,C485,SONDERZAHLUNGEN!$C$9:$C$128,A485,SONDERZAHLUNGEN!$H$9:$H$128,"OK",SONDERZAHLUNGEN!$F$9:$F$128,"Ja")))</x:f>
      </x:c>
      <x:c r="H485" s="88" t="str">
        <x:f>IF(C485="","",MIN(MAX(0,D485+E485-F485-G485),MAX(0,IF(MONATSBUDGET!$C$31="",0,MONATSBUDGET!$C$31)-SUM(F480:F499)-SUM(H480:H484))))</x:f>
      </x:c>
      <x:c r="I485" s="88" t="str">
        <x:f>IF(C485="","",MAX(0,ROUND(D485+E485-F485-G485-H485,2)))</x:f>
      </x:c>
      <x:c r="J485" s="88" t="str">
        <x:f>IF(C485="","",F485+G485+H485)</x:f>
      </x:c>
      <x:c r="K485" s="88" t="str">
        <x:f>IF(C485="","",MAX(0,SUMIFS(SONDERZAHLUNGEN!$E$9:$E$128,SONDERZAHLUNGEN!$B$9:$B$128,C485,SONDERZAHLUNGEN!$C$9:$C$128,A485,SONDERZAHLUNGEN!$H$9:$H$128,"OK",SONDERZAHLUNGEN!$F$9:$F$128,"Ja")-G485))</x:f>
      </x:c>
    </x:row>
    <x:row r="486" ht="19" customHeight="1">
      <x:c r="A486" s="90" t="n">
        <x:f>MONATSBUDGET!$A$31</x:f>
        <x:v>46935</x:v>
      </x:c>
      <x:c r="B486" t="n">
        <x:f>7</x:f>
        <x:v>7</x:v>
      </x:c>
      <x:c r="C486" t="str">
        <x:f>IF($N$15="","",$N$15)</x:f>
      </x:c>
      <x:c r="D486" s="88" t="str">
        <x:f>IF(C486="","",I466)</x:f>
      </x:c>
      <x:c r="E486" s="88" t="str">
        <x:f>IF(C486="","",ROUND(D486*$P$15/12,2))</x:f>
      </x:c>
      <x:c r="F486" s="88" t="str">
        <x:f>IF(C486="","",MIN(D486+E486,$Q$15))</x:f>
      </x:c>
      <x:c r="G486" s="88" t="str">
        <x:f>IF(C486="","",MIN(MAX(0,D486+E486-F486),SUMIFS(SONDERZAHLUNGEN!$E$9:$E$128,SONDERZAHLUNGEN!$B$9:$B$128,C486,SONDERZAHLUNGEN!$C$9:$C$128,A486,SONDERZAHLUNGEN!$H$9:$H$128,"OK",SONDERZAHLUNGEN!$F$9:$F$128,"Ja")))</x:f>
      </x:c>
      <x:c r="H486" s="88" t="str">
        <x:f>IF(C486="","",MIN(MAX(0,D486+E486-F486-G486),MAX(0,IF(MONATSBUDGET!$C$31="",0,MONATSBUDGET!$C$31)-SUM(F480:F499)-SUM(H480:H485))))</x:f>
      </x:c>
      <x:c r="I486" s="88" t="str">
        <x:f>IF(C486="","",MAX(0,ROUND(D486+E486-F486-G486-H486,2)))</x:f>
      </x:c>
      <x:c r="J486" s="88" t="str">
        <x:f>IF(C486="","",F486+G486+H486)</x:f>
      </x:c>
      <x:c r="K486" s="88" t="str">
        <x:f>IF(C486="","",MAX(0,SUMIFS(SONDERZAHLUNGEN!$E$9:$E$128,SONDERZAHLUNGEN!$B$9:$B$128,C486,SONDERZAHLUNGEN!$C$9:$C$128,A486,SONDERZAHLUNGEN!$H$9:$H$128,"OK",SONDERZAHLUNGEN!$F$9:$F$128,"Ja")-G486))</x:f>
      </x:c>
    </x:row>
    <x:row r="487" ht="19" customHeight="1">
      <x:c r="A487" s="90" t="n">
        <x:f>MONATSBUDGET!$A$31</x:f>
        <x:v>46935</x:v>
      </x:c>
      <x:c r="B487" t="n">
        <x:f>8</x:f>
        <x:v>8</x:v>
      </x:c>
      <x:c r="C487" t="str">
        <x:f>IF($N$16="","",$N$16)</x:f>
      </x:c>
      <x:c r="D487" s="88" t="str">
        <x:f>IF(C487="","",I467)</x:f>
      </x:c>
      <x:c r="E487" s="88" t="str">
        <x:f>IF(C487="","",ROUND(D487*$P$16/12,2))</x:f>
      </x:c>
      <x:c r="F487" s="88" t="str">
        <x:f>IF(C487="","",MIN(D487+E487,$Q$16))</x:f>
      </x:c>
      <x:c r="G487" s="88" t="str">
        <x:f>IF(C487="","",MIN(MAX(0,D487+E487-F487),SUMIFS(SONDERZAHLUNGEN!$E$9:$E$128,SONDERZAHLUNGEN!$B$9:$B$128,C487,SONDERZAHLUNGEN!$C$9:$C$128,A487,SONDERZAHLUNGEN!$H$9:$H$128,"OK",SONDERZAHLUNGEN!$F$9:$F$128,"Ja")))</x:f>
      </x:c>
      <x:c r="H487" s="88" t="str">
        <x:f>IF(C487="","",MIN(MAX(0,D487+E487-F487-G487),MAX(0,IF(MONATSBUDGET!$C$31="",0,MONATSBUDGET!$C$31)-SUM(F480:F499)-SUM(H480:H486))))</x:f>
      </x:c>
      <x:c r="I487" s="88" t="str">
        <x:f>IF(C487="","",MAX(0,ROUND(D487+E487-F487-G487-H487,2)))</x:f>
      </x:c>
      <x:c r="J487" s="88" t="str">
        <x:f>IF(C487="","",F487+G487+H487)</x:f>
      </x:c>
      <x:c r="K487" s="88" t="str">
        <x:f>IF(C487="","",MAX(0,SUMIFS(SONDERZAHLUNGEN!$E$9:$E$128,SONDERZAHLUNGEN!$B$9:$B$128,C487,SONDERZAHLUNGEN!$C$9:$C$128,A487,SONDERZAHLUNGEN!$H$9:$H$128,"OK",SONDERZAHLUNGEN!$F$9:$F$128,"Ja")-G487))</x:f>
      </x:c>
    </x:row>
    <x:row r="488" ht="19" customHeight="1">
      <x:c r="A488" s="90" t="n">
        <x:f>MONATSBUDGET!$A$31</x:f>
        <x:v>46935</x:v>
      </x:c>
      <x:c r="B488" t="n">
        <x:f>9</x:f>
        <x:v>9</x:v>
      </x:c>
      <x:c r="C488" t="str">
        <x:f>IF($N$17="","",$N$17)</x:f>
      </x:c>
      <x:c r="D488" s="88" t="str">
        <x:f>IF(C488="","",I468)</x:f>
      </x:c>
      <x:c r="E488" s="88" t="str">
        <x:f>IF(C488="","",ROUND(D488*$P$17/12,2))</x:f>
      </x:c>
      <x:c r="F488" s="88" t="str">
        <x:f>IF(C488="","",MIN(D488+E488,$Q$17))</x:f>
      </x:c>
      <x:c r="G488" s="88" t="str">
        <x:f>IF(C488="","",MIN(MAX(0,D488+E488-F488),SUMIFS(SONDERZAHLUNGEN!$E$9:$E$128,SONDERZAHLUNGEN!$B$9:$B$128,C488,SONDERZAHLUNGEN!$C$9:$C$128,A488,SONDERZAHLUNGEN!$H$9:$H$128,"OK",SONDERZAHLUNGEN!$F$9:$F$128,"Ja")))</x:f>
      </x:c>
      <x:c r="H488" s="88" t="str">
        <x:f>IF(C488="","",MIN(MAX(0,D488+E488-F488-G488),MAX(0,IF(MONATSBUDGET!$C$31="",0,MONATSBUDGET!$C$31)-SUM(F480:F499)-SUM(H480:H487))))</x:f>
      </x:c>
      <x:c r="I488" s="88" t="str">
        <x:f>IF(C488="","",MAX(0,ROUND(D488+E488-F488-G488-H488,2)))</x:f>
      </x:c>
      <x:c r="J488" s="88" t="str">
        <x:f>IF(C488="","",F488+G488+H488)</x:f>
      </x:c>
      <x:c r="K488" s="88" t="str">
        <x:f>IF(C488="","",MAX(0,SUMIFS(SONDERZAHLUNGEN!$E$9:$E$128,SONDERZAHLUNGEN!$B$9:$B$128,C488,SONDERZAHLUNGEN!$C$9:$C$128,A488,SONDERZAHLUNGEN!$H$9:$H$128,"OK",SONDERZAHLUNGEN!$F$9:$F$128,"Ja")-G488))</x:f>
      </x:c>
    </x:row>
    <x:row r="489" ht="19" customHeight="1">
      <x:c r="A489" s="90" t="n">
        <x:f>MONATSBUDGET!$A$31</x:f>
        <x:v>46935</x:v>
      </x:c>
      <x:c r="B489" t="n">
        <x:f>10</x:f>
        <x:v>10</x:v>
      </x:c>
      <x:c r="C489" t="str">
        <x:f>IF($N$18="","",$N$18)</x:f>
      </x:c>
      <x:c r="D489" s="88" t="str">
        <x:f>IF(C489="","",I469)</x:f>
      </x:c>
      <x:c r="E489" s="88" t="str">
        <x:f>IF(C489="","",ROUND(D489*$P$18/12,2))</x:f>
      </x:c>
      <x:c r="F489" s="88" t="str">
        <x:f>IF(C489="","",MIN(D489+E489,$Q$18))</x:f>
      </x:c>
      <x:c r="G489" s="88" t="str">
        <x:f>IF(C489="","",MIN(MAX(0,D489+E489-F489),SUMIFS(SONDERZAHLUNGEN!$E$9:$E$128,SONDERZAHLUNGEN!$B$9:$B$128,C489,SONDERZAHLUNGEN!$C$9:$C$128,A489,SONDERZAHLUNGEN!$H$9:$H$128,"OK",SONDERZAHLUNGEN!$F$9:$F$128,"Ja")))</x:f>
      </x:c>
      <x:c r="H489" s="88" t="str">
        <x:f>IF(C489="","",MIN(MAX(0,D489+E489-F489-G489),MAX(0,IF(MONATSBUDGET!$C$31="",0,MONATSBUDGET!$C$31)-SUM(F480:F499)-SUM(H480:H488))))</x:f>
      </x:c>
      <x:c r="I489" s="88" t="str">
        <x:f>IF(C489="","",MAX(0,ROUND(D489+E489-F489-G489-H489,2)))</x:f>
      </x:c>
      <x:c r="J489" s="88" t="str">
        <x:f>IF(C489="","",F489+G489+H489)</x:f>
      </x:c>
      <x:c r="K489" s="88" t="str">
        <x:f>IF(C489="","",MAX(0,SUMIFS(SONDERZAHLUNGEN!$E$9:$E$128,SONDERZAHLUNGEN!$B$9:$B$128,C489,SONDERZAHLUNGEN!$C$9:$C$128,A489,SONDERZAHLUNGEN!$H$9:$H$128,"OK",SONDERZAHLUNGEN!$F$9:$F$128,"Ja")-G489))</x:f>
      </x:c>
    </x:row>
    <x:row r="490" ht="19" customHeight="1">
      <x:c r="A490" s="90" t="n">
        <x:f>MONATSBUDGET!$A$31</x:f>
        <x:v>46935</x:v>
      </x:c>
      <x:c r="B490" t="n">
        <x:f>11</x:f>
        <x:v>11</x:v>
      </x:c>
      <x:c r="C490" t="str">
        <x:f>IF($N$19="","",$N$19)</x:f>
      </x:c>
      <x:c r="D490" s="88" t="str">
        <x:f>IF(C490="","",I470)</x:f>
      </x:c>
      <x:c r="E490" s="88" t="str">
        <x:f>IF(C490="","",ROUND(D490*$P$19/12,2))</x:f>
      </x:c>
      <x:c r="F490" s="88" t="str">
        <x:f>IF(C490="","",MIN(D490+E490,$Q$19))</x:f>
      </x:c>
      <x:c r="G490" s="88" t="str">
        <x:f>IF(C490="","",MIN(MAX(0,D490+E490-F490),SUMIFS(SONDERZAHLUNGEN!$E$9:$E$128,SONDERZAHLUNGEN!$B$9:$B$128,C490,SONDERZAHLUNGEN!$C$9:$C$128,A490,SONDERZAHLUNGEN!$H$9:$H$128,"OK",SONDERZAHLUNGEN!$F$9:$F$128,"Ja")))</x:f>
      </x:c>
      <x:c r="H490" s="88" t="str">
        <x:f>IF(C490="","",MIN(MAX(0,D490+E490-F490-G490),MAX(0,IF(MONATSBUDGET!$C$31="",0,MONATSBUDGET!$C$31)-SUM(F480:F499)-SUM(H480:H489))))</x:f>
      </x:c>
      <x:c r="I490" s="88" t="str">
        <x:f>IF(C490="","",MAX(0,ROUND(D490+E490-F490-G490-H490,2)))</x:f>
      </x:c>
      <x:c r="J490" s="88" t="str">
        <x:f>IF(C490="","",F490+G490+H490)</x:f>
      </x:c>
      <x:c r="K490" s="88" t="str">
        <x:f>IF(C490="","",MAX(0,SUMIFS(SONDERZAHLUNGEN!$E$9:$E$128,SONDERZAHLUNGEN!$B$9:$B$128,C490,SONDERZAHLUNGEN!$C$9:$C$128,A490,SONDERZAHLUNGEN!$H$9:$H$128,"OK",SONDERZAHLUNGEN!$F$9:$F$128,"Ja")-G490))</x:f>
      </x:c>
    </x:row>
    <x:row r="491" ht="19" customHeight="1">
      <x:c r="A491" s="90" t="n">
        <x:f>MONATSBUDGET!$A$31</x:f>
        <x:v>46935</x:v>
      </x:c>
      <x:c r="B491" t="n">
        <x:f>12</x:f>
        <x:v>12</x:v>
      </x:c>
      <x:c r="C491" t="str">
        <x:f>IF($N$20="","",$N$20)</x:f>
      </x:c>
      <x:c r="D491" s="88" t="str">
        <x:f>IF(C491="","",I471)</x:f>
      </x:c>
      <x:c r="E491" s="88" t="str">
        <x:f>IF(C491="","",ROUND(D491*$P$20/12,2))</x:f>
      </x:c>
      <x:c r="F491" s="88" t="str">
        <x:f>IF(C491="","",MIN(D491+E491,$Q$20))</x:f>
      </x:c>
      <x:c r="G491" s="88" t="str">
        <x:f>IF(C491="","",MIN(MAX(0,D491+E491-F491),SUMIFS(SONDERZAHLUNGEN!$E$9:$E$128,SONDERZAHLUNGEN!$B$9:$B$128,C491,SONDERZAHLUNGEN!$C$9:$C$128,A491,SONDERZAHLUNGEN!$H$9:$H$128,"OK",SONDERZAHLUNGEN!$F$9:$F$128,"Ja")))</x:f>
      </x:c>
      <x:c r="H491" s="88" t="str">
        <x:f>IF(C491="","",MIN(MAX(0,D491+E491-F491-G491),MAX(0,IF(MONATSBUDGET!$C$31="",0,MONATSBUDGET!$C$31)-SUM(F480:F499)-SUM(H480:H490))))</x:f>
      </x:c>
      <x:c r="I491" s="88" t="str">
        <x:f>IF(C491="","",MAX(0,ROUND(D491+E491-F491-G491-H491,2)))</x:f>
      </x:c>
      <x:c r="J491" s="88" t="str">
        <x:f>IF(C491="","",F491+G491+H491)</x:f>
      </x:c>
      <x:c r="K491" s="88" t="str">
        <x:f>IF(C491="","",MAX(0,SUMIFS(SONDERZAHLUNGEN!$E$9:$E$128,SONDERZAHLUNGEN!$B$9:$B$128,C491,SONDERZAHLUNGEN!$C$9:$C$128,A491,SONDERZAHLUNGEN!$H$9:$H$128,"OK",SONDERZAHLUNGEN!$F$9:$F$128,"Ja")-G491))</x:f>
      </x:c>
    </x:row>
    <x:row r="492" ht="19" customHeight="1">
      <x:c r="A492" s="90" t="n">
        <x:f>MONATSBUDGET!$A$31</x:f>
        <x:v>46935</x:v>
      </x:c>
      <x:c r="B492" t="n">
        <x:f>13</x:f>
        <x:v>13</x:v>
      </x:c>
      <x:c r="C492" t="str">
        <x:f>IF($N$21="","",$N$21)</x:f>
      </x:c>
      <x:c r="D492" s="88" t="str">
        <x:f>IF(C492="","",I472)</x:f>
      </x:c>
      <x:c r="E492" s="88" t="str">
        <x:f>IF(C492="","",ROUND(D492*$P$21/12,2))</x:f>
      </x:c>
      <x:c r="F492" s="88" t="str">
        <x:f>IF(C492="","",MIN(D492+E492,$Q$21))</x:f>
      </x:c>
      <x:c r="G492" s="88" t="str">
        <x:f>IF(C492="","",MIN(MAX(0,D492+E492-F492),SUMIFS(SONDERZAHLUNGEN!$E$9:$E$128,SONDERZAHLUNGEN!$B$9:$B$128,C492,SONDERZAHLUNGEN!$C$9:$C$128,A492,SONDERZAHLUNGEN!$H$9:$H$128,"OK",SONDERZAHLUNGEN!$F$9:$F$128,"Ja")))</x:f>
      </x:c>
      <x:c r="H492" s="88" t="str">
        <x:f>IF(C492="","",MIN(MAX(0,D492+E492-F492-G492),MAX(0,IF(MONATSBUDGET!$C$31="",0,MONATSBUDGET!$C$31)-SUM(F480:F499)-SUM(H480:H491))))</x:f>
      </x:c>
      <x:c r="I492" s="88" t="str">
        <x:f>IF(C492="","",MAX(0,ROUND(D492+E492-F492-G492-H492,2)))</x:f>
      </x:c>
      <x:c r="J492" s="88" t="str">
        <x:f>IF(C492="","",F492+G492+H492)</x:f>
      </x:c>
      <x:c r="K492" s="88" t="str">
        <x:f>IF(C492="","",MAX(0,SUMIFS(SONDERZAHLUNGEN!$E$9:$E$128,SONDERZAHLUNGEN!$B$9:$B$128,C492,SONDERZAHLUNGEN!$C$9:$C$128,A492,SONDERZAHLUNGEN!$H$9:$H$128,"OK",SONDERZAHLUNGEN!$F$9:$F$128,"Ja")-G492))</x:f>
      </x:c>
    </x:row>
    <x:row r="493" ht="19" customHeight="1">
      <x:c r="A493" s="90" t="n">
        <x:f>MONATSBUDGET!$A$31</x:f>
        <x:v>46935</x:v>
      </x:c>
      <x:c r="B493" t="n">
        <x:f>14</x:f>
        <x:v>14</x:v>
      </x:c>
      <x:c r="C493" t="str">
        <x:f>IF($N$22="","",$N$22)</x:f>
      </x:c>
      <x:c r="D493" s="88" t="str">
        <x:f>IF(C493="","",I473)</x:f>
      </x:c>
      <x:c r="E493" s="88" t="str">
        <x:f>IF(C493="","",ROUND(D493*$P$22/12,2))</x:f>
      </x:c>
      <x:c r="F493" s="88" t="str">
        <x:f>IF(C493="","",MIN(D493+E493,$Q$22))</x:f>
      </x:c>
      <x:c r="G493" s="88" t="str">
        <x:f>IF(C493="","",MIN(MAX(0,D493+E493-F493),SUMIFS(SONDERZAHLUNGEN!$E$9:$E$128,SONDERZAHLUNGEN!$B$9:$B$128,C493,SONDERZAHLUNGEN!$C$9:$C$128,A493,SONDERZAHLUNGEN!$H$9:$H$128,"OK",SONDERZAHLUNGEN!$F$9:$F$128,"Ja")))</x:f>
      </x:c>
      <x:c r="H493" s="88" t="str">
        <x:f>IF(C493="","",MIN(MAX(0,D493+E493-F493-G493),MAX(0,IF(MONATSBUDGET!$C$31="",0,MONATSBUDGET!$C$31)-SUM(F480:F499)-SUM(H480:H492))))</x:f>
      </x:c>
      <x:c r="I493" s="88" t="str">
        <x:f>IF(C493="","",MAX(0,ROUND(D493+E493-F493-G493-H493,2)))</x:f>
      </x:c>
      <x:c r="J493" s="88" t="str">
        <x:f>IF(C493="","",F493+G493+H493)</x:f>
      </x:c>
      <x:c r="K493" s="88" t="str">
        <x:f>IF(C493="","",MAX(0,SUMIFS(SONDERZAHLUNGEN!$E$9:$E$128,SONDERZAHLUNGEN!$B$9:$B$128,C493,SONDERZAHLUNGEN!$C$9:$C$128,A493,SONDERZAHLUNGEN!$H$9:$H$128,"OK",SONDERZAHLUNGEN!$F$9:$F$128,"Ja")-G493))</x:f>
      </x:c>
    </x:row>
    <x:row r="494" ht="19" customHeight="1">
      <x:c r="A494" s="90" t="n">
        <x:f>MONATSBUDGET!$A$31</x:f>
        <x:v>46935</x:v>
      </x:c>
      <x:c r="B494" t="n">
        <x:f>15</x:f>
        <x:v>15</x:v>
      </x:c>
      <x:c r="C494" t="str">
        <x:f>IF($N$23="","",$N$23)</x:f>
      </x:c>
      <x:c r="D494" s="88" t="str">
        <x:f>IF(C494="","",I474)</x:f>
      </x:c>
      <x:c r="E494" s="88" t="str">
        <x:f>IF(C494="","",ROUND(D494*$P$23/12,2))</x:f>
      </x:c>
      <x:c r="F494" s="88" t="str">
        <x:f>IF(C494="","",MIN(D494+E494,$Q$23))</x:f>
      </x:c>
      <x:c r="G494" s="88" t="str">
        <x:f>IF(C494="","",MIN(MAX(0,D494+E494-F494),SUMIFS(SONDERZAHLUNGEN!$E$9:$E$128,SONDERZAHLUNGEN!$B$9:$B$128,C494,SONDERZAHLUNGEN!$C$9:$C$128,A494,SONDERZAHLUNGEN!$H$9:$H$128,"OK",SONDERZAHLUNGEN!$F$9:$F$128,"Ja")))</x:f>
      </x:c>
      <x:c r="H494" s="88" t="str">
        <x:f>IF(C494="","",MIN(MAX(0,D494+E494-F494-G494),MAX(0,IF(MONATSBUDGET!$C$31="",0,MONATSBUDGET!$C$31)-SUM(F480:F499)-SUM(H480:H493))))</x:f>
      </x:c>
      <x:c r="I494" s="88" t="str">
        <x:f>IF(C494="","",MAX(0,ROUND(D494+E494-F494-G494-H494,2)))</x:f>
      </x:c>
      <x:c r="J494" s="88" t="str">
        <x:f>IF(C494="","",F494+G494+H494)</x:f>
      </x:c>
      <x:c r="K494" s="88" t="str">
        <x:f>IF(C494="","",MAX(0,SUMIFS(SONDERZAHLUNGEN!$E$9:$E$128,SONDERZAHLUNGEN!$B$9:$B$128,C494,SONDERZAHLUNGEN!$C$9:$C$128,A494,SONDERZAHLUNGEN!$H$9:$H$128,"OK",SONDERZAHLUNGEN!$F$9:$F$128,"Ja")-G494))</x:f>
      </x:c>
    </x:row>
    <x:row r="495" ht="19" customHeight="1">
      <x:c r="A495" s="90" t="n">
        <x:f>MONATSBUDGET!$A$31</x:f>
        <x:v>46935</x:v>
      </x:c>
      <x:c r="B495" t="n">
        <x:f>16</x:f>
        <x:v>16</x:v>
      </x:c>
      <x:c r="C495" t="str">
        <x:f>IF($N$24="","",$N$24)</x:f>
      </x:c>
      <x:c r="D495" s="88" t="str">
        <x:f>IF(C495="","",I475)</x:f>
      </x:c>
      <x:c r="E495" s="88" t="str">
        <x:f>IF(C495="","",ROUND(D495*$P$24/12,2))</x:f>
      </x:c>
      <x:c r="F495" s="88" t="str">
        <x:f>IF(C495="","",MIN(D495+E495,$Q$24))</x:f>
      </x:c>
      <x:c r="G495" s="88" t="str">
        <x:f>IF(C495="","",MIN(MAX(0,D495+E495-F495),SUMIFS(SONDERZAHLUNGEN!$E$9:$E$128,SONDERZAHLUNGEN!$B$9:$B$128,C495,SONDERZAHLUNGEN!$C$9:$C$128,A495,SONDERZAHLUNGEN!$H$9:$H$128,"OK",SONDERZAHLUNGEN!$F$9:$F$128,"Ja")))</x:f>
      </x:c>
      <x:c r="H495" s="88" t="str">
        <x:f>IF(C495="","",MIN(MAX(0,D495+E495-F495-G495),MAX(0,IF(MONATSBUDGET!$C$31="",0,MONATSBUDGET!$C$31)-SUM(F480:F499)-SUM(H480:H494))))</x:f>
      </x:c>
      <x:c r="I495" s="88" t="str">
        <x:f>IF(C495="","",MAX(0,ROUND(D495+E495-F495-G495-H495,2)))</x:f>
      </x:c>
      <x:c r="J495" s="88" t="str">
        <x:f>IF(C495="","",F495+G495+H495)</x:f>
      </x:c>
      <x:c r="K495" s="88" t="str">
        <x:f>IF(C495="","",MAX(0,SUMIFS(SONDERZAHLUNGEN!$E$9:$E$128,SONDERZAHLUNGEN!$B$9:$B$128,C495,SONDERZAHLUNGEN!$C$9:$C$128,A495,SONDERZAHLUNGEN!$H$9:$H$128,"OK",SONDERZAHLUNGEN!$F$9:$F$128,"Ja")-G495))</x:f>
      </x:c>
    </x:row>
    <x:row r="496" ht="19" customHeight="1">
      <x:c r="A496" s="90" t="n">
        <x:f>MONATSBUDGET!$A$31</x:f>
        <x:v>46935</x:v>
      </x:c>
      <x:c r="B496" t="n">
        <x:f>17</x:f>
        <x:v>17</x:v>
      </x:c>
      <x:c r="C496" t="str">
        <x:f>IF($N$25="","",$N$25)</x:f>
      </x:c>
      <x:c r="D496" s="88" t="str">
        <x:f>IF(C496="","",I476)</x:f>
      </x:c>
      <x:c r="E496" s="88" t="str">
        <x:f>IF(C496="","",ROUND(D496*$P$25/12,2))</x:f>
      </x:c>
      <x:c r="F496" s="88" t="str">
        <x:f>IF(C496="","",MIN(D496+E496,$Q$25))</x:f>
      </x:c>
      <x:c r="G496" s="88" t="str">
        <x:f>IF(C496="","",MIN(MAX(0,D496+E496-F496),SUMIFS(SONDERZAHLUNGEN!$E$9:$E$128,SONDERZAHLUNGEN!$B$9:$B$128,C496,SONDERZAHLUNGEN!$C$9:$C$128,A496,SONDERZAHLUNGEN!$H$9:$H$128,"OK",SONDERZAHLUNGEN!$F$9:$F$128,"Ja")))</x:f>
      </x:c>
      <x:c r="H496" s="88" t="str">
        <x:f>IF(C496="","",MIN(MAX(0,D496+E496-F496-G496),MAX(0,IF(MONATSBUDGET!$C$31="",0,MONATSBUDGET!$C$31)-SUM(F480:F499)-SUM(H480:H495))))</x:f>
      </x:c>
      <x:c r="I496" s="88" t="str">
        <x:f>IF(C496="","",MAX(0,ROUND(D496+E496-F496-G496-H496,2)))</x:f>
      </x:c>
      <x:c r="J496" s="88" t="str">
        <x:f>IF(C496="","",F496+G496+H496)</x:f>
      </x:c>
      <x:c r="K496" s="88" t="str">
        <x:f>IF(C496="","",MAX(0,SUMIFS(SONDERZAHLUNGEN!$E$9:$E$128,SONDERZAHLUNGEN!$B$9:$B$128,C496,SONDERZAHLUNGEN!$C$9:$C$128,A496,SONDERZAHLUNGEN!$H$9:$H$128,"OK",SONDERZAHLUNGEN!$F$9:$F$128,"Ja")-G496))</x:f>
      </x:c>
    </x:row>
    <x:row r="497" ht="19" customHeight="1">
      <x:c r="A497" s="90" t="n">
        <x:f>MONATSBUDGET!$A$31</x:f>
        <x:v>46935</x:v>
      </x:c>
      <x:c r="B497" t="n">
        <x:f>18</x:f>
        <x:v>18</x:v>
      </x:c>
      <x:c r="C497" t="str">
        <x:f>IF($N$26="","",$N$26)</x:f>
      </x:c>
      <x:c r="D497" s="88" t="str">
        <x:f>IF(C497="","",I477)</x:f>
      </x:c>
      <x:c r="E497" s="88" t="str">
        <x:f>IF(C497="","",ROUND(D497*$P$26/12,2))</x:f>
      </x:c>
      <x:c r="F497" s="88" t="str">
        <x:f>IF(C497="","",MIN(D497+E497,$Q$26))</x:f>
      </x:c>
      <x:c r="G497" s="88" t="str">
        <x:f>IF(C497="","",MIN(MAX(0,D497+E497-F497),SUMIFS(SONDERZAHLUNGEN!$E$9:$E$128,SONDERZAHLUNGEN!$B$9:$B$128,C497,SONDERZAHLUNGEN!$C$9:$C$128,A497,SONDERZAHLUNGEN!$H$9:$H$128,"OK",SONDERZAHLUNGEN!$F$9:$F$128,"Ja")))</x:f>
      </x:c>
      <x:c r="H497" s="88" t="str">
        <x:f>IF(C497="","",MIN(MAX(0,D497+E497-F497-G497),MAX(0,IF(MONATSBUDGET!$C$31="",0,MONATSBUDGET!$C$31)-SUM(F480:F499)-SUM(H480:H496))))</x:f>
      </x:c>
      <x:c r="I497" s="88" t="str">
        <x:f>IF(C497="","",MAX(0,ROUND(D497+E497-F497-G497-H497,2)))</x:f>
      </x:c>
      <x:c r="J497" s="88" t="str">
        <x:f>IF(C497="","",F497+G497+H497)</x:f>
      </x:c>
      <x:c r="K497" s="88" t="str">
        <x:f>IF(C497="","",MAX(0,SUMIFS(SONDERZAHLUNGEN!$E$9:$E$128,SONDERZAHLUNGEN!$B$9:$B$128,C497,SONDERZAHLUNGEN!$C$9:$C$128,A497,SONDERZAHLUNGEN!$H$9:$H$128,"OK",SONDERZAHLUNGEN!$F$9:$F$128,"Ja")-G497))</x:f>
      </x:c>
    </x:row>
    <x:row r="498" ht="19" customHeight="1">
      <x:c r="A498" s="90" t="n">
        <x:f>MONATSBUDGET!$A$31</x:f>
        <x:v>46935</x:v>
      </x:c>
      <x:c r="B498" t="n">
        <x:f>19</x:f>
        <x:v>19</x:v>
      </x:c>
      <x:c r="C498" t="str">
        <x:f>IF($N$27="","",$N$27)</x:f>
      </x:c>
      <x:c r="D498" s="88" t="str">
        <x:f>IF(C498="","",I478)</x:f>
      </x:c>
      <x:c r="E498" s="88" t="str">
        <x:f>IF(C498="","",ROUND(D498*$P$27/12,2))</x:f>
      </x:c>
      <x:c r="F498" s="88" t="str">
        <x:f>IF(C498="","",MIN(D498+E498,$Q$27))</x:f>
      </x:c>
      <x:c r="G498" s="88" t="str">
        <x:f>IF(C498="","",MIN(MAX(0,D498+E498-F498),SUMIFS(SONDERZAHLUNGEN!$E$9:$E$128,SONDERZAHLUNGEN!$B$9:$B$128,C498,SONDERZAHLUNGEN!$C$9:$C$128,A498,SONDERZAHLUNGEN!$H$9:$H$128,"OK",SONDERZAHLUNGEN!$F$9:$F$128,"Ja")))</x:f>
      </x:c>
      <x:c r="H498" s="88" t="str">
        <x:f>IF(C498="","",MIN(MAX(0,D498+E498-F498-G498),MAX(0,IF(MONATSBUDGET!$C$31="",0,MONATSBUDGET!$C$31)-SUM(F480:F499)-SUM(H480:H497))))</x:f>
      </x:c>
      <x:c r="I498" s="88" t="str">
        <x:f>IF(C498="","",MAX(0,ROUND(D498+E498-F498-G498-H498,2)))</x:f>
      </x:c>
      <x:c r="J498" s="88" t="str">
        <x:f>IF(C498="","",F498+G498+H498)</x:f>
      </x:c>
      <x:c r="K498" s="88" t="str">
        <x:f>IF(C498="","",MAX(0,SUMIFS(SONDERZAHLUNGEN!$E$9:$E$128,SONDERZAHLUNGEN!$B$9:$B$128,C498,SONDERZAHLUNGEN!$C$9:$C$128,A498,SONDERZAHLUNGEN!$H$9:$H$128,"OK",SONDERZAHLUNGEN!$F$9:$F$128,"Ja")-G498))</x:f>
      </x:c>
    </x:row>
    <x:row r="499" ht="19" customHeight="1">
      <x:c r="A499" s="90" t="n">
        <x:f>MONATSBUDGET!$A$31</x:f>
        <x:v>46935</x:v>
      </x:c>
      <x:c r="B499" t="n">
        <x:f>20</x:f>
        <x:v>20</x:v>
      </x:c>
      <x:c r="C499" t="str">
        <x:f>IF($N$28="","",$N$28)</x:f>
      </x:c>
      <x:c r="D499" s="88" t="str">
        <x:f>IF(C499="","",I479)</x:f>
      </x:c>
      <x:c r="E499" s="88" t="str">
        <x:f>IF(C499="","",ROUND(D499*$P$28/12,2))</x:f>
      </x:c>
      <x:c r="F499" s="88" t="str">
        <x:f>IF(C499="","",MIN(D499+E499,$Q$28))</x:f>
      </x:c>
      <x:c r="G499" s="88" t="str">
        <x:f>IF(C499="","",MIN(MAX(0,D499+E499-F499),SUMIFS(SONDERZAHLUNGEN!$E$9:$E$128,SONDERZAHLUNGEN!$B$9:$B$128,C499,SONDERZAHLUNGEN!$C$9:$C$128,A499,SONDERZAHLUNGEN!$H$9:$H$128,"OK",SONDERZAHLUNGEN!$F$9:$F$128,"Ja")))</x:f>
      </x:c>
      <x:c r="H499" s="88" t="str">
        <x:f>IF(C499="","",MIN(MAX(0,D499+E499-F499-G499),MAX(0,IF(MONATSBUDGET!$C$31="",0,MONATSBUDGET!$C$31)-SUM(F480:F499)-SUM(H480:H498))))</x:f>
      </x:c>
      <x:c r="I499" s="88" t="str">
        <x:f>IF(C499="","",MAX(0,ROUND(D499+E499-F499-G499-H499,2)))</x:f>
      </x:c>
      <x:c r="J499" s="88" t="str">
        <x:f>IF(C499="","",F499+G499+H499)</x:f>
      </x:c>
      <x:c r="K499" s="88" t="str">
        <x:f>IF(C499="","",MAX(0,SUMIFS(SONDERZAHLUNGEN!$E$9:$E$128,SONDERZAHLUNGEN!$B$9:$B$128,C499,SONDERZAHLUNGEN!$C$9:$C$128,A499,SONDERZAHLUNGEN!$H$9:$H$128,"OK",SONDERZAHLUNGEN!$F$9:$F$128,"Ja")-G499))</x:f>
      </x:c>
    </x:row>
    <x:row r="500" ht="19" customHeight="1">
      <x:c r="A500" s="90" t="n">
        <x:f>MONATSBUDGET!$A$32</x:f>
        <x:v>46966</x:v>
      </x:c>
      <x:c r="B500" t="n">
        <x:f>1</x:f>
        <x:v>1</x:v>
      </x:c>
      <x:c r="C500" t="str">
        <x:f>IF($N$9="","",$N$9)</x:f>
      </x:c>
      <x:c r="D500" s="88" t="str">
        <x:f>IF(C500="","",I480)</x:f>
      </x:c>
      <x:c r="E500" s="88" t="str">
        <x:f>IF(C500="","",ROUND(D500*$P$9/12,2))</x:f>
      </x:c>
      <x:c r="F500" s="88" t="str">
        <x:f>IF(C500="","",MIN(D500+E500,$Q$9))</x:f>
      </x:c>
      <x:c r="G500" s="88" t="str">
        <x:f>IF(C500="","",MIN(MAX(0,D500+E500-F500),SUMIFS(SONDERZAHLUNGEN!$E$9:$E$128,SONDERZAHLUNGEN!$B$9:$B$128,C500,SONDERZAHLUNGEN!$C$9:$C$128,A500,SONDERZAHLUNGEN!$H$9:$H$128,"OK",SONDERZAHLUNGEN!$F$9:$F$128,"Ja")))</x:f>
      </x:c>
      <x:c r="H500" s="88" t="str">
        <x:f>IF(C500="","",MIN(MAX(0,D500+E500-F500-G500),MAX(0,IF(MONATSBUDGET!$C$32="",0,MONATSBUDGET!$C$32)-SUM(F500:F519)-0)))</x:f>
      </x:c>
      <x:c r="I500" s="88" t="str">
        <x:f>IF(C500="","",MAX(0,ROUND(D500+E500-F500-G500-H500,2)))</x:f>
      </x:c>
      <x:c r="J500" s="88" t="str">
        <x:f>IF(C500="","",F500+G500+H500)</x:f>
      </x:c>
      <x:c r="K500" s="88" t="str">
        <x:f>IF(C500="","",MAX(0,SUMIFS(SONDERZAHLUNGEN!$E$9:$E$128,SONDERZAHLUNGEN!$B$9:$B$128,C500,SONDERZAHLUNGEN!$C$9:$C$128,A500,SONDERZAHLUNGEN!$H$9:$H$128,"OK",SONDERZAHLUNGEN!$F$9:$F$128,"Ja")-G500))</x:f>
      </x:c>
    </x:row>
    <x:row r="501" ht="19" customHeight="1">
      <x:c r="A501" s="90" t="n">
        <x:f>MONATSBUDGET!$A$32</x:f>
        <x:v>46966</x:v>
      </x:c>
      <x:c r="B501" t="n">
        <x:f>2</x:f>
        <x:v>2</x:v>
      </x:c>
      <x:c r="C501" t="str">
        <x:f>IF($N$10="","",$N$10)</x:f>
      </x:c>
      <x:c r="D501" s="88" t="str">
        <x:f>IF(C501="","",I481)</x:f>
      </x:c>
      <x:c r="E501" s="88" t="str">
        <x:f>IF(C501="","",ROUND(D501*$P$10/12,2))</x:f>
      </x:c>
      <x:c r="F501" s="88" t="str">
        <x:f>IF(C501="","",MIN(D501+E501,$Q$10))</x:f>
      </x:c>
      <x:c r="G501" s="88" t="str">
        <x:f>IF(C501="","",MIN(MAX(0,D501+E501-F501),SUMIFS(SONDERZAHLUNGEN!$E$9:$E$128,SONDERZAHLUNGEN!$B$9:$B$128,C501,SONDERZAHLUNGEN!$C$9:$C$128,A501,SONDERZAHLUNGEN!$H$9:$H$128,"OK",SONDERZAHLUNGEN!$F$9:$F$128,"Ja")))</x:f>
      </x:c>
      <x:c r="H501" s="88" t="str">
        <x:f>IF(C501="","",MIN(MAX(0,D501+E501-F501-G501),MAX(0,IF(MONATSBUDGET!$C$32="",0,MONATSBUDGET!$C$32)-SUM(F500:F519)-SUM(H500:H500))))</x:f>
      </x:c>
      <x:c r="I501" s="88" t="str">
        <x:f>IF(C501="","",MAX(0,ROUND(D501+E501-F501-G501-H501,2)))</x:f>
      </x:c>
      <x:c r="J501" s="88" t="str">
        <x:f>IF(C501="","",F501+G501+H501)</x:f>
      </x:c>
      <x:c r="K501" s="88" t="str">
        <x:f>IF(C501="","",MAX(0,SUMIFS(SONDERZAHLUNGEN!$E$9:$E$128,SONDERZAHLUNGEN!$B$9:$B$128,C501,SONDERZAHLUNGEN!$C$9:$C$128,A501,SONDERZAHLUNGEN!$H$9:$H$128,"OK",SONDERZAHLUNGEN!$F$9:$F$128,"Ja")-G501))</x:f>
      </x:c>
    </x:row>
    <x:row r="502" ht="19" customHeight="1">
      <x:c r="A502" s="90" t="n">
        <x:f>MONATSBUDGET!$A$32</x:f>
        <x:v>46966</x:v>
      </x:c>
      <x:c r="B502" t="n">
        <x:f>3</x:f>
        <x:v>3</x:v>
      </x:c>
      <x:c r="C502" t="str">
        <x:f>IF($N$11="","",$N$11)</x:f>
      </x:c>
      <x:c r="D502" s="88" t="str">
        <x:f>IF(C502="","",I482)</x:f>
      </x:c>
      <x:c r="E502" s="88" t="str">
        <x:f>IF(C502="","",ROUND(D502*$P$11/12,2))</x:f>
      </x:c>
      <x:c r="F502" s="88" t="str">
        <x:f>IF(C502="","",MIN(D502+E502,$Q$11))</x:f>
      </x:c>
      <x:c r="G502" s="88" t="str">
        <x:f>IF(C502="","",MIN(MAX(0,D502+E502-F502),SUMIFS(SONDERZAHLUNGEN!$E$9:$E$128,SONDERZAHLUNGEN!$B$9:$B$128,C502,SONDERZAHLUNGEN!$C$9:$C$128,A502,SONDERZAHLUNGEN!$H$9:$H$128,"OK",SONDERZAHLUNGEN!$F$9:$F$128,"Ja")))</x:f>
      </x:c>
      <x:c r="H502" s="88" t="str">
        <x:f>IF(C502="","",MIN(MAX(0,D502+E502-F502-G502),MAX(0,IF(MONATSBUDGET!$C$32="",0,MONATSBUDGET!$C$32)-SUM(F500:F519)-SUM(H500:H501))))</x:f>
      </x:c>
      <x:c r="I502" s="88" t="str">
        <x:f>IF(C502="","",MAX(0,ROUND(D502+E502-F502-G502-H502,2)))</x:f>
      </x:c>
      <x:c r="J502" s="88" t="str">
        <x:f>IF(C502="","",F502+G502+H502)</x:f>
      </x:c>
      <x:c r="K502" s="88" t="str">
        <x:f>IF(C502="","",MAX(0,SUMIFS(SONDERZAHLUNGEN!$E$9:$E$128,SONDERZAHLUNGEN!$B$9:$B$128,C502,SONDERZAHLUNGEN!$C$9:$C$128,A502,SONDERZAHLUNGEN!$H$9:$H$128,"OK",SONDERZAHLUNGEN!$F$9:$F$128,"Ja")-G502))</x:f>
      </x:c>
    </x:row>
    <x:row r="503" ht="19" customHeight="1">
      <x:c r="A503" s="90" t="n">
        <x:f>MONATSBUDGET!$A$32</x:f>
        <x:v>46966</x:v>
      </x:c>
      <x:c r="B503" t="n">
        <x:f>4</x:f>
        <x:v>4</x:v>
      </x:c>
      <x:c r="C503" t="str">
        <x:f>IF($N$12="","",$N$12)</x:f>
      </x:c>
      <x:c r="D503" s="88" t="str">
        <x:f>IF(C503="","",I483)</x:f>
      </x:c>
      <x:c r="E503" s="88" t="str">
        <x:f>IF(C503="","",ROUND(D503*$P$12/12,2))</x:f>
      </x:c>
      <x:c r="F503" s="88" t="str">
        <x:f>IF(C503="","",MIN(D503+E503,$Q$12))</x:f>
      </x:c>
      <x:c r="G503" s="88" t="str">
        <x:f>IF(C503="","",MIN(MAX(0,D503+E503-F503),SUMIFS(SONDERZAHLUNGEN!$E$9:$E$128,SONDERZAHLUNGEN!$B$9:$B$128,C503,SONDERZAHLUNGEN!$C$9:$C$128,A503,SONDERZAHLUNGEN!$H$9:$H$128,"OK",SONDERZAHLUNGEN!$F$9:$F$128,"Ja")))</x:f>
      </x:c>
      <x:c r="H503" s="88" t="str">
        <x:f>IF(C503="","",MIN(MAX(0,D503+E503-F503-G503),MAX(0,IF(MONATSBUDGET!$C$32="",0,MONATSBUDGET!$C$32)-SUM(F500:F519)-SUM(H500:H502))))</x:f>
      </x:c>
      <x:c r="I503" s="88" t="str">
        <x:f>IF(C503="","",MAX(0,ROUND(D503+E503-F503-G503-H503,2)))</x:f>
      </x:c>
      <x:c r="J503" s="88" t="str">
        <x:f>IF(C503="","",F503+G503+H503)</x:f>
      </x:c>
      <x:c r="K503" s="88" t="str">
        <x:f>IF(C503="","",MAX(0,SUMIFS(SONDERZAHLUNGEN!$E$9:$E$128,SONDERZAHLUNGEN!$B$9:$B$128,C503,SONDERZAHLUNGEN!$C$9:$C$128,A503,SONDERZAHLUNGEN!$H$9:$H$128,"OK",SONDERZAHLUNGEN!$F$9:$F$128,"Ja")-G503))</x:f>
      </x:c>
    </x:row>
    <x:row r="504" ht="19" customHeight="1">
      <x:c r="A504" s="90" t="n">
        <x:f>MONATSBUDGET!$A$32</x:f>
        <x:v>46966</x:v>
      </x:c>
      <x:c r="B504" t="n">
        <x:f>5</x:f>
        <x:v>5</x:v>
      </x:c>
      <x:c r="C504" t="str">
        <x:f>IF($N$13="","",$N$13)</x:f>
      </x:c>
      <x:c r="D504" s="88" t="str">
        <x:f>IF(C504="","",I484)</x:f>
      </x:c>
      <x:c r="E504" s="88" t="str">
        <x:f>IF(C504="","",ROUND(D504*$P$13/12,2))</x:f>
      </x:c>
      <x:c r="F504" s="88" t="str">
        <x:f>IF(C504="","",MIN(D504+E504,$Q$13))</x:f>
      </x:c>
      <x:c r="G504" s="88" t="str">
        <x:f>IF(C504="","",MIN(MAX(0,D504+E504-F504),SUMIFS(SONDERZAHLUNGEN!$E$9:$E$128,SONDERZAHLUNGEN!$B$9:$B$128,C504,SONDERZAHLUNGEN!$C$9:$C$128,A504,SONDERZAHLUNGEN!$H$9:$H$128,"OK",SONDERZAHLUNGEN!$F$9:$F$128,"Ja")))</x:f>
      </x:c>
      <x:c r="H504" s="88" t="str">
        <x:f>IF(C504="","",MIN(MAX(0,D504+E504-F504-G504),MAX(0,IF(MONATSBUDGET!$C$32="",0,MONATSBUDGET!$C$32)-SUM(F500:F519)-SUM(H500:H503))))</x:f>
      </x:c>
      <x:c r="I504" s="88" t="str">
        <x:f>IF(C504="","",MAX(0,ROUND(D504+E504-F504-G504-H504,2)))</x:f>
      </x:c>
      <x:c r="J504" s="88" t="str">
        <x:f>IF(C504="","",F504+G504+H504)</x:f>
      </x:c>
      <x:c r="K504" s="88" t="str">
        <x:f>IF(C504="","",MAX(0,SUMIFS(SONDERZAHLUNGEN!$E$9:$E$128,SONDERZAHLUNGEN!$B$9:$B$128,C504,SONDERZAHLUNGEN!$C$9:$C$128,A504,SONDERZAHLUNGEN!$H$9:$H$128,"OK",SONDERZAHLUNGEN!$F$9:$F$128,"Ja")-G504))</x:f>
      </x:c>
    </x:row>
    <x:row r="505" ht="19" customHeight="1">
      <x:c r="A505" s="90" t="n">
        <x:f>MONATSBUDGET!$A$32</x:f>
        <x:v>46966</x:v>
      </x:c>
      <x:c r="B505" t="n">
        <x:f>6</x:f>
        <x:v>6</x:v>
      </x:c>
      <x:c r="C505" t="str">
        <x:f>IF($N$14="","",$N$14)</x:f>
      </x:c>
      <x:c r="D505" s="88" t="str">
        <x:f>IF(C505="","",I485)</x:f>
      </x:c>
      <x:c r="E505" s="88" t="str">
        <x:f>IF(C505="","",ROUND(D505*$P$14/12,2))</x:f>
      </x:c>
      <x:c r="F505" s="88" t="str">
        <x:f>IF(C505="","",MIN(D505+E505,$Q$14))</x:f>
      </x:c>
      <x:c r="G505" s="88" t="str">
        <x:f>IF(C505="","",MIN(MAX(0,D505+E505-F505),SUMIFS(SONDERZAHLUNGEN!$E$9:$E$128,SONDERZAHLUNGEN!$B$9:$B$128,C505,SONDERZAHLUNGEN!$C$9:$C$128,A505,SONDERZAHLUNGEN!$H$9:$H$128,"OK",SONDERZAHLUNGEN!$F$9:$F$128,"Ja")))</x:f>
      </x:c>
      <x:c r="H505" s="88" t="str">
        <x:f>IF(C505="","",MIN(MAX(0,D505+E505-F505-G505),MAX(0,IF(MONATSBUDGET!$C$32="",0,MONATSBUDGET!$C$32)-SUM(F500:F519)-SUM(H500:H504))))</x:f>
      </x:c>
      <x:c r="I505" s="88" t="str">
        <x:f>IF(C505="","",MAX(0,ROUND(D505+E505-F505-G505-H505,2)))</x:f>
      </x:c>
      <x:c r="J505" s="88" t="str">
        <x:f>IF(C505="","",F505+G505+H505)</x:f>
      </x:c>
      <x:c r="K505" s="88" t="str">
        <x:f>IF(C505="","",MAX(0,SUMIFS(SONDERZAHLUNGEN!$E$9:$E$128,SONDERZAHLUNGEN!$B$9:$B$128,C505,SONDERZAHLUNGEN!$C$9:$C$128,A505,SONDERZAHLUNGEN!$H$9:$H$128,"OK",SONDERZAHLUNGEN!$F$9:$F$128,"Ja")-G505))</x:f>
      </x:c>
    </x:row>
    <x:row r="506" ht="19" customHeight="1">
      <x:c r="A506" s="90" t="n">
        <x:f>MONATSBUDGET!$A$32</x:f>
        <x:v>46966</x:v>
      </x:c>
      <x:c r="B506" t="n">
        <x:f>7</x:f>
        <x:v>7</x:v>
      </x:c>
      <x:c r="C506" t="str">
        <x:f>IF($N$15="","",$N$15)</x:f>
      </x:c>
      <x:c r="D506" s="88" t="str">
        <x:f>IF(C506="","",I486)</x:f>
      </x:c>
      <x:c r="E506" s="88" t="str">
        <x:f>IF(C506="","",ROUND(D506*$P$15/12,2))</x:f>
      </x:c>
      <x:c r="F506" s="88" t="str">
        <x:f>IF(C506="","",MIN(D506+E506,$Q$15))</x:f>
      </x:c>
      <x:c r="G506" s="88" t="str">
        <x:f>IF(C506="","",MIN(MAX(0,D506+E506-F506),SUMIFS(SONDERZAHLUNGEN!$E$9:$E$128,SONDERZAHLUNGEN!$B$9:$B$128,C506,SONDERZAHLUNGEN!$C$9:$C$128,A506,SONDERZAHLUNGEN!$H$9:$H$128,"OK",SONDERZAHLUNGEN!$F$9:$F$128,"Ja")))</x:f>
      </x:c>
      <x:c r="H506" s="88" t="str">
        <x:f>IF(C506="","",MIN(MAX(0,D506+E506-F506-G506),MAX(0,IF(MONATSBUDGET!$C$32="",0,MONATSBUDGET!$C$32)-SUM(F500:F519)-SUM(H500:H505))))</x:f>
      </x:c>
      <x:c r="I506" s="88" t="str">
        <x:f>IF(C506="","",MAX(0,ROUND(D506+E506-F506-G506-H506,2)))</x:f>
      </x:c>
      <x:c r="J506" s="88" t="str">
        <x:f>IF(C506="","",F506+G506+H506)</x:f>
      </x:c>
      <x:c r="K506" s="88" t="str">
        <x:f>IF(C506="","",MAX(0,SUMIFS(SONDERZAHLUNGEN!$E$9:$E$128,SONDERZAHLUNGEN!$B$9:$B$128,C506,SONDERZAHLUNGEN!$C$9:$C$128,A506,SONDERZAHLUNGEN!$H$9:$H$128,"OK",SONDERZAHLUNGEN!$F$9:$F$128,"Ja")-G506))</x:f>
      </x:c>
    </x:row>
    <x:row r="507" ht="19" customHeight="1">
      <x:c r="A507" s="90" t="n">
        <x:f>MONATSBUDGET!$A$32</x:f>
        <x:v>46966</x:v>
      </x:c>
      <x:c r="B507" t="n">
        <x:f>8</x:f>
        <x:v>8</x:v>
      </x:c>
      <x:c r="C507" t="str">
        <x:f>IF($N$16="","",$N$16)</x:f>
      </x:c>
      <x:c r="D507" s="88" t="str">
        <x:f>IF(C507="","",I487)</x:f>
      </x:c>
      <x:c r="E507" s="88" t="str">
        <x:f>IF(C507="","",ROUND(D507*$P$16/12,2))</x:f>
      </x:c>
      <x:c r="F507" s="88" t="str">
        <x:f>IF(C507="","",MIN(D507+E507,$Q$16))</x:f>
      </x:c>
      <x:c r="G507" s="88" t="str">
        <x:f>IF(C507="","",MIN(MAX(0,D507+E507-F507),SUMIFS(SONDERZAHLUNGEN!$E$9:$E$128,SONDERZAHLUNGEN!$B$9:$B$128,C507,SONDERZAHLUNGEN!$C$9:$C$128,A507,SONDERZAHLUNGEN!$H$9:$H$128,"OK",SONDERZAHLUNGEN!$F$9:$F$128,"Ja")))</x:f>
      </x:c>
      <x:c r="H507" s="88" t="str">
        <x:f>IF(C507="","",MIN(MAX(0,D507+E507-F507-G507),MAX(0,IF(MONATSBUDGET!$C$32="",0,MONATSBUDGET!$C$32)-SUM(F500:F519)-SUM(H500:H506))))</x:f>
      </x:c>
      <x:c r="I507" s="88" t="str">
        <x:f>IF(C507="","",MAX(0,ROUND(D507+E507-F507-G507-H507,2)))</x:f>
      </x:c>
      <x:c r="J507" s="88" t="str">
        <x:f>IF(C507="","",F507+G507+H507)</x:f>
      </x:c>
      <x:c r="K507" s="88" t="str">
        <x:f>IF(C507="","",MAX(0,SUMIFS(SONDERZAHLUNGEN!$E$9:$E$128,SONDERZAHLUNGEN!$B$9:$B$128,C507,SONDERZAHLUNGEN!$C$9:$C$128,A507,SONDERZAHLUNGEN!$H$9:$H$128,"OK",SONDERZAHLUNGEN!$F$9:$F$128,"Ja")-G507))</x:f>
      </x:c>
    </x:row>
    <x:row r="508" ht="19" customHeight="1">
      <x:c r="A508" s="90" t="n">
        <x:f>MONATSBUDGET!$A$32</x:f>
        <x:v>46966</x:v>
      </x:c>
      <x:c r="B508" t="n">
        <x:f>9</x:f>
        <x:v>9</x:v>
      </x:c>
      <x:c r="C508" t="str">
        <x:f>IF($N$17="","",$N$17)</x:f>
      </x:c>
      <x:c r="D508" s="88" t="str">
        <x:f>IF(C508="","",I488)</x:f>
      </x:c>
      <x:c r="E508" s="88" t="str">
        <x:f>IF(C508="","",ROUND(D508*$P$17/12,2))</x:f>
      </x:c>
      <x:c r="F508" s="88" t="str">
        <x:f>IF(C508="","",MIN(D508+E508,$Q$17))</x:f>
      </x:c>
      <x:c r="G508" s="88" t="str">
        <x:f>IF(C508="","",MIN(MAX(0,D508+E508-F508),SUMIFS(SONDERZAHLUNGEN!$E$9:$E$128,SONDERZAHLUNGEN!$B$9:$B$128,C508,SONDERZAHLUNGEN!$C$9:$C$128,A508,SONDERZAHLUNGEN!$H$9:$H$128,"OK",SONDERZAHLUNGEN!$F$9:$F$128,"Ja")))</x:f>
      </x:c>
      <x:c r="H508" s="88" t="str">
        <x:f>IF(C508="","",MIN(MAX(0,D508+E508-F508-G508),MAX(0,IF(MONATSBUDGET!$C$32="",0,MONATSBUDGET!$C$32)-SUM(F500:F519)-SUM(H500:H507))))</x:f>
      </x:c>
      <x:c r="I508" s="88" t="str">
        <x:f>IF(C508="","",MAX(0,ROUND(D508+E508-F508-G508-H508,2)))</x:f>
      </x:c>
      <x:c r="J508" s="88" t="str">
        <x:f>IF(C508="","",F508+G508+H508)</x:f>
      </x:c>
      <x:c r="K508" s="88" t="str">
        <x:f>IF(C508="","",MAX(0,SUMIFS(SONDERZAHLUNGEN!$E$9:$E$128,SONDERZAHLUNGEN!$B$9:$B$128,C508,SONDERZAHLUNGEN!$C$9:$C$128,A508,SONDERZAHLUNGEN!$H$9:$H$128,"OK",SONDERZAHLUNGEN!$F$9:$F$128,"Ja")-G508))</x:f>
      </x:c>
    </x:row>
    <x:row r="509" ht="19" customHeight="1">
      <x:c r="A509" s="90" t="n">
        <x:f>MONATSBUDGET!$A$32</x:f>
        <x:v>46966</x:v>
      </x:c>
      <x:c r="B509" t="n">
        <x:f>10</x:f>
        <x:v>10</x:v>
      </x:c>
      <x:c r="C509" t="str">
        <x:f>IF($N$18="","",$N$18)</x:f>
      </x:c>
      <x:c r="D509" s="88" t="str">
        <x:f>IF(C509="","",I489)</x:f>
      </x:c>
      <x:c r="E509" s="88" t="str">
        <x:f>IF(C509="","",ROUND(D509*$P$18/12,2))</x:f>
      </x:c>
      <x:c r="F509" s="88" t="str">
        <x:f>IF(C509="","",MIN(D509+E509,$Q$18))</x:f>
      </x:c>
      <x:c r="G509" s="88" t="str">
        <x:f>IF(C509="","",MIN(MAX(0,D509+E509-F509),SUMIFS(SONDERZAHLUNGEN!$E$9:$E$128,SONDERZAHLUNGEN!$B$9:$B$128,C509,SONDERZAHLUNGEN!$C$9:$C$128,A509,SONDERZAHLUNGEN!$H$9:$H$128,"OK",SONDERZAHLUNGEN!$F$9:$F$128,"Ja")))</x:f>
      </x:c>
      <x:c r="H509" s="88" t="str">
        <x:f>IF(C509="","",MIN(MAX(0,D509+E509-F509-G509),MAX(0,IF(MONATSBUDGET!$C$32="",0,MONATSBUDGET!$C$32)-SUM(F500:F519)-SUM(H500:H508))))</x:f>
      </x:c>
      <x:c r="I509" s="88" t="str">
        <x:f>IF(C509="","",MAX(0,ROUND(D509+E509-F509-G509-H509,2)))</x:f>
      </x:c>
      <x:c r="J509" s="88" t="str">
        <x:f>IF(C509="","",F509+G509+H509)</x:f>
      </x:c>
      <x:c r="K509" s="88" t="str">
        <x:f>IF(C509="","",MAX(0,SUMIFS(SONDERZAHLUNGEN!$E$9:$E$128,SONDERZAHLUNGEN!$B$9:$B$128,C509,SONDERZAHLUNGEN!$C$9:$C$128,A509,SONDERZAHLUNGEN!$H$9:$H$128,"OK",SONDERZAHLUNGEN!$F$9:$F$128,"Ja")-G509))</x:f>
      </x:c>
    </x:row>
    <x:row r="510" ht="19" customHeight="1">
      <x:c r="A510" s="90" t="n">
        <x:f>MONATSBUDGET!$A$32</x:f>
        <x:v>46966</x:v>
      </x:c>
      <x:c r="B510" t="n">
        <x:f>11</x:f>
        <x:v>11</x:v>
      </x:c>
      <x:c r="C510" t="str">
        <x:f>IF($N$19="","",$N$19)</x:f>
      </x:c>
      <x:c r="D510" s="88" t="str">
        <x:f>IF(C510="","",I490)</x:f>
      </x:c>
      <x:c r="E510" s="88" t="str">
        <x:f>IF(C510="","",ROUND(D510*$P$19/12,2))</x:f>
      </x:c>
      <x:c r="F510" s="88" t="str">
        <x:f>IF(C510="","",MIN(D510+E510,$Q$19))</x:f>
      </x:c>
      <x:c r="G510" s="88" t="str">
        <x:f>IF(C510="","",MIN(MAX(0,D510+E510-F510),SUMIFS(SONDERZAHLUNGEN!$E$9:$E$128,SONDERZAHLUNGEN!$B$9:$B$128,C510,SONDERZAHLUNGEN!$C$9:$C$128,A510,SONDERZAHLUNGEN!$H$9:$H$128,"OK",SONDERZAHLUNGEN!$F$9:$F$128,"Ja")))</x:f>
      </x:c>
      <x:c r="H510" s="88" t="str">
        <x:f>IF(C510="","",MIN(MAX(0,D510+E510-F510-G510),MAX(0,IF(MONATSBUDGET!$C$32="",0,MONATSBUDGET!$C$32)-SUM(F500:F519)-SUM(H500:H509))))</x:f>
      </x:c>
      <x:c r="I510" s="88" t="str">
        <x:f>IF(C510="","",MAX(0,ROUND(D510+E510-F510-G510-H510,2)))</x:f>
      </x:c>
      <x:c r="J510" s="88" t="str">
        <x:f>IF(C510="","",F510+G510+H510)</x:f>
      </x:c>
      <x:c r="K510" s="88" t="str">
        <x:f>IF(C510="","",MAX(0,SUMIFS(SONDERZAHLUNGEN!$E$9:$E$128,SONDERZAHLUNGEN!$B$9:$B$128,C510,SONDERZAHLUNGEN!$C$9:$C$128,A510,SONDERZAHLUNGEN!$H$9:$H$128,"OK",SONDERZAHLUNGEN!$F$9:$F$128,"Ja")-G510))</x:f>
      </x:c>
    </x:row>
    <x:row r="511" ht="19" customHeight="1">
      <x:c r="A511" s="90" t="n">
        <x:f>MONATSBUDGET!$A$32</x:f>
        <x:v>46966</x:v>
      </x:c>
      <x:c r="B511" t="n">
        <x:f>12</x:f>
        <x:v>12</x:v>
      </x:c>
      <x:c r="C511" t="str">
        <x:f>IF($N$20="","",$N$20)</x:f>
      </x:c>
      <x:c r="D511" s="88" t="str">
        <x:f>IF(C511="","",I491)</x:f>
      </x:c>
      <x:c r="E511" s="88" t="str">
        <x:f>IF(C511="","",ROUND(D511*$P$20/12,2))</x:f>
      </x:c>
      <x:c r="F511" s="88" t="str">
        <x:f>IF(C511="","",MIN(D511+E511,$Q$20))</x:f>
      </x:c>
      <x:c r="G511" s="88" t="str">
        <x:f>IF(C511="","",MIN(MAX(0,D511+E511-F511),SUMIFS(SONDERZAHLUNGEN!$E$9:$E$128,SONDERZAHLUNGEN!$B$9:$B$128,C511,SONDERZAHLUNGEN!$C$9:$C$128,A511,SONDERZAHLUNGEN!$H$9:$H$128,"OK",SONDERZAHLUNGEN!$F$9:$F$128,"Ja")))</x:f>
      </x:c>
      <x:c r="H511" s="88" t="str">
        <x:f>IF(C511="","",MIN(MAX(0,D511+E511-F511-G511),MAX(0,IF(MONATSBUDGET!$C$32="",0,MONATSBUDGET!$C$32)-SUM(F500:F519)-SUM(H500:H510))))</x:f>
      </x:c>
      <x:c r="I511" s="88" t="str">
        <x:f>IF(C511="","",MAX(0,ROUND(D511+E511-F511-G511-H511,2)))</x:f>
      </x:c>
      <x:c r="J511" s="88" t="str">
        <x:f>IF(C511="","",F511+G511+H511)</x:f>
      </x:c>
      <x:c r="K511" s="88" t="str">
        <x:f>IF(C511="","",MAX(0,SUMIFS(SONDERZAHLUNGEN!$E$9:$E$128,SONDERZAHLUNGEN!$B$9:$B$128,C511,SONDERZAHLUNGEN!$C$9:$C$128,A511,SONDERZAHLUNGEN!$H$9:$H$128,"OK",SONDERZAHLUNGEN!$F$9:$F$128,"Ja")-G511))</x:f>
      </x:c>
    </x:row>
    <x:row r="512" ht="19" customHeight="1">
      <x:c r="A512" s="90" t="n">
        <x:f>MONATSBUDGET!$A$32</x:f>
        <x:v>46966</x:v>
      </x:c>
      <x:c r="B512" t="n">
        <x:f>13</x:f>
        <x:v>13</x:v>
      </x:c>
      <x:c r="C512" t="str">
        <x:f>IF($N$21="","",$N$21)</x:f>
      </x:c>
      <x:c r="D512" s="88" t="str">
        <x:f>IF(C512="","",I492)</x:f>
      </x:c>
      <x:c r="E512" s="88" t="str">
        <x:f>IF(C512="","",ROUND(D512*$P$21/12,2))</x:f>
      </x:c>
      <x:c r="F512" s="88" t="str">
        <x:f>IF(C512="","",MIN(D512+E512,$Q$21))</x:f>
      </x:c>
      <x:c r="G512" s="88" t="str">
        <x:f>IF(C512="","",MIN(MAX(0,D512+E512-F512),SUMIFS(SONDERZAHLUNGEN!$E$9:$E$128,SONDERZAHLUNGEN!$B$9:$B$128,C512,SONDERZAHLUNGEN!$C$9:$C$128,A512,SONDERZAHLUNGEN!$H$9:$H$128,"OK",SONDERZAHLUNGEN!$F$9:$F$128,"Ja")))</x:f>
      </x:c>
      <x:c r="H512" s="88" t="str">
        <x:f>IF(C512="","",MIN(MAX(0,D512+E512-F512-G512),MAX(0,IF(MONATSBUDGET!$C$32="",0,MONATSBUDGET!$C$32)-SUM(F500:F519)-SUM(H500:H511))))</x:f>
      </x:c>
      <x:c r="I512" s="88" t="str">
        <x:f>IF(C512="","",MAX(0,ROUND(D512+E512-F512-G512-H512,2)))</x:f>
      </x:c>
      <x:c r="J512" s="88" t="str">
        <x:f>IF(C512="","",F512+G512+H512)</x:f>
      </x:c>
      <x:c r="K512" s="88" t="str">
        <x:f>IF(C512="","",MAX(0,SUMIFS(SONDERZAHLUNGEN!$E$9:$E$128,SONDERZAHLUNGEN!$B$9:$B$128,C512,SONDERZAHLUNGEN!$C$9:$C$128,A512,SONDERZAHLUNGEN!$H$9:$H$128,"OK",SONDERZAHLUNGEN!$F$9:$F$128,"Ja")-G512))</x:f>
      </x:c>
    </x:row>
    <x:row r="513" ht="19" customHeight="1">
      <x:c r="A513" s="90" t="n">
        <x:f>MONATSBUDGET!$A$32</x:f>
        <x:v>46966</x:v>
      </x:c>
      <x:c r="B513" t="n">
        <x:f>14</x:f>
        <x:v>14</x:v>
      </x:c>
      <x:c r="C513" t="str">
        <x:f>IF($N$22="","",$N$22)</x:f>
      </x:c>
      <x:c r="D513" s="88" t="str">
        <x:f>IF(C513="","",I493)</x:f>
      </x:c>
      <x:c r="E513" s="88" t="str">
        <x:f>IF(C513="","",ROUND(D513*$P$22/12,2))</x:f>
      </x:c>
      <x:c r="F513" s="88" t="str">
        <x:f>IF(C513="","",MIN(D513+E513,$Q$22))</x:f>
      </x:c>
      <x:c r="G513" s="88" t="str">
        <x:f>IF(C513="","",MIN(MAX(0,D513+E513-F513),SUMIFS(SONDERZAHLUNGEN!$E$9:$E$128,SONDERZAHLUNGEN!$B$9:$B$128,C513,SONDERZAHLUNGEN!$C$9:$C$128,A513,SONDERZAHLUNGEN!$H$9:$H$128,"OK",SONDERZAHLUNGEN!$F$9:$F$128,"Ja")))</x:f>
      </x:c>
      <x:c r="H513" s="88" t="str">
        <x:f>IF(C513="","",MIN(MAX(0,D513+E513-F513-G513),MAX(0,IF(MONATSBUDGET!$C$32="",0,MONATSBUDGET!$C$32)-SUM(F500:F519)-SUM(H500:H512))))</x:f>
      </x:c>
      <x:c r="I513" s="88" t="str">
        <x:f>IF(C513="","",MAX(0,ROUND(D513+E513-F513-G513-H513,2)))</x:f>
      </x:c>
      <x:c r="J513" s="88" t="str">
        <x:f>IF(C513="","",F513+G513+H513)</x:f>
      </x:c>
      <x:c r="K513" s="88" t="str">
        <x:f>IF(C513="","",MAX(0,SUMIFS(SONDERZAHLUNGEN!$E$9:$E$128,SONDERZAHLUNGEN!$B$9:$B$128,C513,SONDERZAHLUNGEN!$C$9:$C$128,A513,SONDERZAHLUNGEN!$H$9:$H$128,"OK",SONDERZAHLUNGEN!$F$9:$F$128,"Ja")-G513))</x:f>
      </x:c>
    </x:row>
    <x:row r="514" ht="19" customHeight="1">
      <x:c r="A514" s="90" t="n">
        <x:f>MONATSBUDGET!$A$32</x:f>
        <x:v>46966</x:v>
      </x:c>
      <x:c r="B514" t="n">
        <x:f>15</x:f>
        <x:v>15</x:v>
      </x:c>
      <x:c r="C514" t="str">
        <x:f>IF($N$23="","",$N$23)</x:f>
      </x:c>
      <x:c r="D514" s="88" t="str">
        <x:f>IF(C514="","",I494)</x:f>
      </x:c>
      <x:c r="E514" s="88" t="str">
        <x:f>IF(C514="","",ROUND(D514*$P$23/12,2))</x:f>
      </x:c>
      <x:c r="F514" s="88" t="str">
        <x:f>IF(C514="","",MIN(D514+E514,$Q$23))</x:f>
      </x:c>
      <x:c r="G514" s="88" t="str">
        <x:f>IF(C514="","",MIN(MAX(0,D514+E514-F514),SUMIFS(SONDERZAHLUNGEN!$E$9:$E$128,SONDERZAHLUNGEN!$B$9:$B$128,C514,SONDERZAHLUNGEN!$C$9:$C$128,A514,SONDERZAHLUNGEN!$H$9:$H$128,"OK",SONDERZAHLUNGEN!$F$9:$F$128,"Ja")))</x:f>
      </x:c>
      <x:c r="H514" s="88" t="str">
        <x:f>IF(C514="","",MIN(MAX(0,D514+E514-F514-G514),MAX(0,IF(MONATSBUDGET!$C$32="",0,MONATSBUDGET!$C$32)-SUM(F500:F519)-SUM(H500:H513))))</x:f>
      </x:c>
      <x:c r="I514" s="88" t="str">
        <x:f>IF(C514="","",MAX(0,ROUND(D514+E514-F514-G514-H514,2)))</x:f>
      </x:c>
      <x:c r="J514" s="88" t="str">
        <x:f>IF(C514="","",F514+G514+H514)</x:f>
      </x:c>
      <x:c r="K514" s="88" t="str">
        <x:f>IF(C514="","",MAX(0,SUMIFS(SONDERZAHLUNGEN!$E$9:$E$128,SONDERZAHLUNGEN!$B$9:$B$128,C514,SONDERZAHLUNGEN!$C$9:$C$128,A514,SONDERZAHLUNGEN!$H$9:$H$128,"OK",SONDERZAHLUNGEN!$F$9:$F$128,"Ja")-G514))</x:f>
      </x:c>
    </x:row>
    <x:row r="515" ht="19" customHeight="1">
      <x:c r="A515" s="90" t="n">
        <x:f>MONATSBUDGET!$A$32</x:f>
        <x:v>46966</x:v>
      </x:c>
      <x:c r="B515" t="n">
        <x:f>16</x:f>
        <x:v>16</x:v>
      </x:c>
      <x:c r="C515" t="str">
        <x:f>IF($N$24="","",$N$24)</x:f>
      </x:c>
      <x:c r="D515" s="88" t="str">
        <x:f>IF(C515="","",I495)</x:f>
      </x:c>
      <x:c r="E515" s="88" t="str">
        <x:f>IF(C515="","",ROUND(D515*$P$24/12,2))</x:f>
      </x:c>
      <x:c r="F515" s="88" t="str">
        <x:f>IF(C515="","",MIN(D515+E515,$Q$24))</x:f>
      </x:c>
      <x:c r="G515" s="88" t="str">
        <x:f>IF(C515="","",MIN(MAX(0,D515+E515-F515),SUMIFS(SONDERZAHLUNGEN!$E$9:$E$128,SONDERZAHLUNGEN!$B$9:$B$128,C515,SONDERZAHLUNGEN!$C$9:$C$128,A515,SONDERZAHLUNGEN!$H$9:$H$128,"OK",SONDERZAHLUNGEN!$F$9:$F$128,"Ja")))</x:f>
      </x:c>
      <x:c r="H515" s="88" t="str">
        <x:f>IF(C515="","",MIN(MAX(0,D515+E515-F515-G515),MAX(0,IF(MONATSBUDGET!$C$32="",0,MONATSBUDGET!$C$32)-SUM(F500:F519)-SUM(H500:H514))))</x:f>
      </x:c>
      <x:c r="I515" s="88" t="str">
        <x:f>IF(C515="","",MAX(0,ROUND(D515+E515-F515-G515-H515,2)))</x:f>
      </x:c>
      <x:c r="J515" s="88" t="str">
        <x:f>IF(C515="","",F515+G515+H515)</x:f>
      </x:c>
      <x:c r="K515" s="88" t="str">
        <x:f>IF(C515="","",MAX(0,SUMIFS(SONDERZAHLUNGEN!$E$9:$E$128,SONDERZAHLUNGEN!$B$9:$B$128,C515,SONDERZAHLUNGEN!$C$9:$C$128,A515,SONDERZAHLUNGEN!$H$9:$H$128,"OK",SONDERZAHLUNGEN!$F$9:$F$128,"Ja")-G515))</x:f>
      </x:c>
    </x:row>
    <x:row r="516" ht="19" customHeight="1">
      <x:c r="A516" s="90" t="n">
        <x:f>MONATSBUDGET!$A$32</x:f>
        <x:v>46966</x:v>
      </x:c>
      <x:c r="B516" t="n">
        <x:f>17</x:f>
        <x:v>17</x:v>
      </x:c>
      <x:c r="C516" t="str">
        <x:f>IF($N$25="","",$N$25)</x:f>
      </x:c>
      <x:c r="D516" s="88" t="str">
        <x:f>IF(C516="","",I496)</x:f>
      </x:c>
      <x:c r="E516" s="88" t="str">
        <x:f>IF(C516="","",ROUND(D516*$P$25/12,2))</x:f>
      </x:c>
      <x:c r="F516" s="88" t="str">
        <x:f>IF(C516="","",MIN(D516+E516,$Q$25))</x:f>
      </x:c>
      <x:c r="G516" s="88" t="str">
        <x:f>IF(C516="","",MIN(MAX(0,D516+E516-F516),SUMIFS(SONDERZAHLUNGEN!$E$9:$E$128,SONDERZAHLUNGEN!$B$9:$B$128,C516,SONDERZAHLUNGEN!$C$9:$C$128,A516,SONDERZAHLUNGEN!$H$9:$H$128,"OK",SONDERZAHLUNGEN!$F$9:$F$128,"Ja")))</x:f>
      </x:c>
      <x:c r="H516" s="88" t="str">
        <x:f>IF(C516="","",MIN(MAX(0,D516+E516-F516-G516),MAX(0,IF(MONATSBUDGET!$C$32="",0,MONATSBUDGET!$C$32)-SUM(F500:F519)-SUM(H500:H515))))</x:f>
      </x:c>
      <x:c r="I516" s="88" t="str">
        <x:f>IF(C516="","",MAX(0,ROUND(D516+E516-F516-G516-H516,2)))</x:f>
      </x:c>
      <x:c r="J516" s="88" t="str">
        <x:f>IF(C516="","",F516+G516+H516)</x:f>
      </x:c>
      <x:c r="K516" s="88" t="str">
        <x:f>IF(C516="","",MAX(0,SUMIFS(SONDERZAHLUNGEN!$E$9:$E$128,SONDERZAHLUNGEN!$B$9:$B$128,C516,SONDERZAHLUNGEN!$C$9:$C$128,A516,SONDERZAHLUNGEN!$H$9:$H$128,"OK",SONDERZAHLUNGEN!$F$9:$F$128,"Ja")-G516))</x:f>
      </x:c>
    </x:row>
    <x:row r="517" ht="19" customHeight="1">
      <x:c r="A517" s="90" t="n">
        <x:f>MONATSBUDGET!$A$32</x:f>
        <x:v>46966</x:v>
      </x:c>
      <x:c r="B517" t="n">
        <x:f>18</x:f>
        <x:v>18</x:v>
      </x:c>
      <x:c r="C517" t="str">
        <x:f>IF($N$26="","",$N$26)</x:f>
      </x:c>
      <x:c r="D517" s="88" t="str">
        <x:f>IF(C517="","",I497)</x:f>
      </x:c>
      <x:c r="E517" s="88" t="str">
        <x:f>IF(C517="","",ROUND(D517*$P$26/12,2))</x:f>
      </x:c>
      <x:c r="F517" s="88" t="str">
        <x:f>IF(C517="","",MIN(D517+E517,$Q$26))</x:f>
      </x:c>
      <x:c r="G517" s="88" t="str">
        <x:f>IF(C517="","",MIN(MAX(0,D517+E517-F517),SUMIFS(SONDERZAHLUNGEN!$E$9:$E$128,SONDERZAHLUNGEN!$B$9:$B$128,C517,SONDERZAHLUNGEN!$C$9:$C$128,A517,SONDERZAHLUNGEN!$H$9:$H$128,"OK",SONDERZAHLUNGEN!$F$9:$F$128,"Ja")))</x:f>
      </x:c>
      <x:c r="H517" s="88" t="str">
        <x:f>IF(C517="","",MIN(MAX(0,D517+E517-F517-G517),MAX(0,IF(MONATSBUDGET!$C$32="",0,MONATSBUDGET!$C$32)-SUM(F500:F519)-SUM(H500:H516))))</x:f>
      </x:c>
      <x:c r="I517" s="88" t="str">
        <x:f>IF(C517="","",MAX(0,ROUND(D517+E517-F517-G517-H517,2)))</x:f>
      </x:c>
      <x:c r="J517" s="88" t="str">
        <x:f>IF(C517="","",F517+G517+H517)</x:f>
      </x:c>
      <x:c r="K517" s="88" t="str">
        <x:f>IF(C517="","",MAX(0,SUMIFS(SONDERZAHLUNGEN!$E$9:$E$128,SONDERZAHLUNGEN!$B$9:$B$128,C517,SONDERZAHLUNGEN!$C$9:$C$128,A517,SONDERZAHLUNGEN!$H$9:$H$128,"OK",SONDERZAHLUNGEN!$F$9:$F$128,"Ja")-G517))</x:f>
      </x:c>
    </x:row>
    <x:row r="518" ht="19" customHeight="1">
      <x:c r="A518" s="90" t="n">
        <x:f>MONATSBUDGET!$A$32</x:f>
        <x:v>46966</x:v>
      </x:c>
      <x:c r="B518" t="n">
        <x:f>19</x:f>
        <x:v>19</x:v>
      </x:c>
      <x:c r="C518" t="str">
        <x:f>IF($N$27="","",$N$27)</x:f>
      </x:c>
      <x:c r="D518" s="88" t="str">
        <x:f>IF(C518="","",I498)</x:f>
      </x:c>
      <x:c r="E518" s="88" t="str">
        <x:f>IF(C518="","",ROUND(D518*$P$27/12,2))</x:f>
      </x:c>
      <x:c r="F518" s="88" t="str">
        <x:f>IF(C518="","",MIN(D518+E518,$Q$27))</x:f>
      </x:c>
      <x:c r="G518" s="88" t="str">
        <x:f>IF(C518="","",MIN(MAX(0,D518+E518-F518),SUMIFS(SONDERZAHLUNGEN!$E$9:$E$128,SONDERZAHLUNGEN!$B$9:$B$128,C518,SONDERZAHLUNGEN!$C$9:$C$128,A518,SONDERZAHLUNGEN!$H$9:$H$128,"OK",SONDERZAHLUNGEN!$F$9:$F$128,"Ja")))</x:f>
      </x:c>
      <x:c r="H518" s="88" t="str">
        <x:f>IF(C518="","",MIN(MAX(0,D518+E518-F518-G518),MAX(0,IF(MONATSBUDGET!$C$32="",0,MONATSBUDGET!$C$32)-SUM(F500:F519)-SUM(H500:H517))))</x:f>
      </x:c>
      <x:c r="I518" s="88" t="str">
        <x:f>IF(C518="","",MAX(0,ROUND(D518+E518-F518-G518-H518,2)))</x:f>
      </x:c>
      <x:c r="J518" s="88" t="str">
        <x:f>IF(C518="","",F518+G518+H518)</x:f>
      </x:c>
      <x:c r="K518" s="88" t="str">
        <x:f>IF(C518="","",MAX(0,SUMIFS(SONDERZAHLUNGEN!$E$9:$E$128,SONDERZAHLUNGEN!$B$9:$B$128,C518,SONDERZAHLUNGEN!$C$9:$C$128,A518,SONDERZAHLUNGEN!$H$9:$H$128,"OK",SONDERZAHLUNGEN!$F$9:$F$128,"Ja")-G518))</x:f>
      </x:c>
    </x:row>
    <x:row r="519" ht="19" customHeight="1">
      <x:c r="A519" s="90" t="n">
        <x:f>MONATSBUDGET!$A$32</x:f>
        <x:v>46966</x:v>
      </x:c>
      <x:c r="B519" t="n">
        <x:f>20</x:f>
        <x:v>20</x:v>
      </x:c>
      <x:c r="C519" t="str">
        <x:f>IF($N$28="","",$N$28)</x:f>
      </x:c>
      <x:c r="D519" s="88" t="str">
        <x:f>IF(C519="","",I499)</x:f>
      </x:c>
      <x:c r="E519" s="88" t="str">
        <x:f>IF(C519="","",ROUND(D519*$P$28/12,2))</x:f>
      </x:c>
      <x:c r="F519" s="88" t="str">
        <x:f>IF(C519="","",MIN(D519+E519,$Q$28))</x:f>
      </x:c>
      <x:c r="G519" s="88" t="str">
        <x:f>IF(C519="","",MIN(MAX(0,D519+E519-F519),SUMIFS(SONDERZAHLUNGEN!$E$9:$E$128,SONDERZAHLUNGEN!$B$9:$B$128,C519,SONDERZAHLUNGEN!$C$9:$C$128,A519,SONDERZAHLUNGEN!$H$9:$H$128,"OK",SONDERZAHLUNGEN!$F$9:$F$128,"Ja")))</x:f>
      </x:c>
      <x:c r="H519" s="88" t="str">
        <x:f>IF(C519="","",MIN(MAX(0,D519+E519-F519-G519),MAX(0,IF(MONATSBUDGET!$C$32="",0,MONATSBUDGET!$C$32)-SUM(F500:F519)-SUM(H500:H518))))</x:f>
      </x:c>
      <x:c r="I519" s="88" t="str">
        <x:f>IF(C519="","",MAX(0,ROUND(D519+E519-F519-G519-H519,2)))</x:f>
      </x:c>
      <x:c r="J519" s="88" t="str">
        <x:f>IF(C519="","",F519+G519+H519)</x:f>
      </x:c>
      <x:c r="K519" s="88" t="str">
        <x:f>IF(C519="","",MAX(0,SUMIFS(SONDERZAHLUNGEN!$E$9:$E$128,SONDERZAHLUNGEN!$B$9:$B$128,C519,SONDERZAHLUNGEN!$C$9:$C$128,A519,SONDERZAHLUNGEN!$H$9:$H$128,"OK",SONDERZAHLUNGEN!$F$9:$F$128,"Ja")-G519))</x:f>
      </x:c>
    </x:row>
    <x:row r="520" ht="19" customHeight="1">
      <x:c r="A520" s="90" t="n">
        <x:f>MONATSBUDGET!$A$33</x:f>
        <x:v>46997</x:v>
      </x:c>
      <x:c r="B520" t="n">
        <x:f>1</x:f>
        <x:v>1</x:v>
      </x:c>
      <x:c r="C520" t="str">
        <x:f>IF($N$9="","",$N$9)</x:f>
      </x:c>
      <x:c r="D520" s="88" t="str">
        <x:f>IF(C520="","",I500)</x:f>
      </x:c>
      <x:c r="E520" s="88" t="str">
        <x:f>IF(C520="","",ROUND(D520*$P$9/12,2))</x:f>
      </x:c>
      <x:c r="F520" s="88" t="str">
        <x:f>IF(C520="","",MIN(D520+E520,$Q$9))</x:f>
      </x:c>
      <x:c r="G520" s="88" t="str">
        <x:f>IF(C520="","",MIN(MAX(0,D520+E520-F520),SUMIFS(SONDERZAHLUNGEN!$E$9:$E$128,SONDERZAHLUNGEN!$B$9:$B$128,C520,SONDERZAHLUNGEN!$C$9:$C$128,A520,SONDERZAHLUNGEN!$H$9:$H$128,"OK",SONDERZAHLUNGEN!$F$9:$F$128,"Ja")))</x:f>
      </x:c>
      <x:c r="H520" s="88" t="str">
        <x:f>IF(C520="","",MIN(MAX(0,D520+E520-F520-G520),MAX(0,IF(MONATSBUDGET!$C$33="",0,MONATSBUDGET!$C$33)-SUM(F520:F539)-0)))</x:f>
      </x:c>
      <x:c r="I520" s="88" t="str">
        <x:f>IF(C520="","",MAX(0,ROUND(D520+E520-F520-G520-H520,2)))</x:f>
      </x:c>
      <x:c r="J520" s="88" t="str">
        <x:f>IF(C520="","",F520+G520+H520)</x:f>
      </x:c>
      <x:c r="K520" s="88" t="str">
        <x:f>IF(C520="","",MAX(0,SUMIFS(SONDERZAHLUNGEN!$E$9:$E$128,SONDERZAHLUNGEN!$B$9:$B$128,C520,SONDERZAHLUNGEN!$C$9:$C$128,A520,SONDERZAHLUNGEN!$H$9:$H$128,"OK",SONDERZAHLUNGEN!$F$9:$F$128,"Ja")-G520))</x:f>
      </x:c>
    </x:row>
    <x:row r="521" ht="19" customHeight="1">
      <x:c r="A521" s="90" t="n">
        <x:f>MONATSBUDGET!$A$33</x:f>
        <x:v>46997</x:v>
      </x:c>
      <x:c r="B521" t="n">
        <x:f>2</x:f>
        <x:v>2</x:v>
      </x:c>
      <x:c r="C521" t="str">
        <x:f>IF($N$10="","",$N$10)</x:f>
      </x:c>
      <x:c r="D521" s="88" t="str">
        <x:f>IF(C521="","",I501)</x:f>
      </x:c>
      <x:c r="E521" s="88" t="str">
        <x:f>IF(C521="","",ROUND(D521*$P$10/12,2))</x:f>
      </x:c>
      <x:c r="F521" s="88" t="str">
        <x:f>IF(C521="","",MIN(D521+E521,$Q$10))</x:f>
      </x:c>
      <x:c r="G521" s="88" t="str">
        <x:f>IF(C521="","",MIN(MAX(0,D521+E521-F521),SUMIFS(SONDERZAHLUNGEN!$E$9:$E$128,SONDERZAHLUNGEN!$B$9:$B$128,C521,SONDERZAHLUNGEN!$C$9:$C$128,A521,SONDERZAHLUNGEN!$H$9:$H$128,"OK",SONDERZAHLUNGEN!$F$9:$F$128,"Ja")))</x:f>
      </x:c>
      <x:c r="H521" s="88" t="str">
        <x:f>IF(C521="","",MIN(MAX(0,D521+E521-F521-G521),MAX(0,IF(MONATSBUDGET!$C$33="",0,MONATSBUDGET!$C$33)-SUM(F520:F539)-SUM(H520:H520))))</x:f>
      </x:c>
      <x:c r="I521" s="88" t="str">
        <x:f>IF(C521="","",MAX(0,ROUND(D521+E521-F521-G521-H521,2)))</x:f>
      </x:c>
      <x:c r="J521" s="88" t="str">
        <x:f>IF(C521="","",F521+G521+H521)</x:f>
      </x:c>
      <x:c r="K521" s="88" t="str">
        <x:f>IF(C521="","",MAX(0,SUMIFS(SONDERZAHLUNGEN!$E$9:$E$128,SONDERZAHLUNGEN!$B$9:$B$128,C521,SONDERZAHLUNGEN!$C$9:$C$128,A521,SONDERZAHLUNGEN!$H$9:$H$128,"OK",SONDERZAHLUNGEN!$F$9:$F$128,"Ja")-G521))</x:f>
      </x:c>
    </x:row>
    <x:row r="522" ht="19" customHeight="1">
      <x:c r="A522" s="90" t="n">
        <x:f>MONATSBUDGET!$A$33</x:f>
        <x:v>46997</x:v>
      </x:c>
      <x:c r="B522" t="n">
        <x:f>3</x:f>
        <x:v>3</x:v>
      </x:c>
      <x:c r="C522" t="str">
        <x:f>IF($N$11="","",$N$11)</x:f>
      </x:c>
      <x:c r="D522" s="88" t="str">
        <x:f>IF(C522="","",I502)</x:f>
      </x:c>
      <x:c r="E522" s="88" t="str">
        <x:f>IF(C522="","",ROUND(D522*$P$11/12,2))</x:f>
      </x:c>
      <x:c r="F522" s="88" t="str">
        <x:f>IF(C522="","",MIN(D522+E522,$Q$11))</x:f>
      </x:c>
      <x:c r="G522" s="88" t="str">
        <x:f>IF(C522="","",MIN(MAX(0,D522+E522-F522),SUMIFS(SONDERZAHLUNGEN!$E$9:$E$128,SONDERZAHLUNGEN!$B$9:$B$128,C522,SONDERZAHLUNGEN!$C$9:$C$128,A522,SONDERZAHLUNGEN!$H$9:$H$128,"OK",SONDERZAHLUNGEN!$F$9:$F$128,"Ja")))</x:f>
      </x:c>
      <x:c r="H522" s="88" t="str">
        <x:f>IF(C522="","",MIN(MAX(0,D522+E522-F522-G522),MAX(0,IF(MONATSBUDGET!$C$33="",0,MONATSBUDGET!$C$33)-SUM(F520:F539)-SUM(H520:H521))))</x:f>
      </x:c>
      <x:c r="I522" s="88" t="str">
        <x:f>IF(C522="","",MAX(0,ROUND(D522+E522-F522-G522-H522,2)))</x:f>
      </x:c>
      <x:c r="J522" s="88" t="str">
        <x:f>IF(C522="","",F522+G522+H522)</x:f>
      </x:c>
      <x:c r="K522" s="88" t="str">
        <x:f>IF(C522="","",MAX(0,SUMIFS(SONDERZAHLUNGEN!$E$9:$E$128,SONDERZAHLUNGEN!$B$9:$B$128,C522,SONDERZAHLUNGEN!$C$9:$C$128,A522,SONDERZAHLUNGEN!$H$9:$H$128,"OK",SONDERZAHLUNGEN!$F$9:$F$128,"Ja")-G522))</x:f>
      </x:c>
    </x:row>
    <x:row r="523" ht="19" customHeight="1">
      <x:c r="A523" s="90" t="n">
        <x:f>MONATSBUDGET!$A$33</x:f>
        <x:v>46997</x:v>
      </x:c>
      <x:c r="B523" t="n">
        <x:f>4</x:f>
        <x:v>4</x:v>
      </x:c>
      <x:c r="C523" t="str">
        <x:f>IF($N$12="","",$N$12)</x:f>
      </x:c>
      <x:c r="D523" s="88" t="str">
        <x:f>IF(C523="","",I503)</x:f>
      </x:c>
      <x:c r="E523" s="88" t="str">
        <x:f>IF(C523="","",ROUND(D523*$P$12/12,2))</x:f>
      </x:c>
      <x:c r="F523" s="88" t="str">
        <x:f>IF(C523="","",MIN(D523+E523,$Q$12))</x:f>
      </x:c>
      <x:c r="G523" s="88" t="str">
        <x:f>IF(C523="","",MIN(MAX(0,D523+E523-F523),SUMIFS(SONDERZAHLUNGEN!$E$9:$E$128,SONDERZAHLUNGEN!$B$9:$B$128,C523,SONDERZAHLUNGEN!$C$9:$C$128,A523,SONDERZAHLUNGEN!$H$9:$H$128,"OK",SONDERZAHLUNGEN!$F$9:$F$128,"Ja")))</x:f>
      </x:c>
      <x:c r="H523" s="88" t="str">
        <x:f>IF(C523="","",MIN(MAX(0,D523+E523-F523-G523),MAX(0,IF(MONATSBUDGET!$C$33="",0,MONATSBUDGET!$C$33)-SUM(F520:F539)-SUM(H520:H522))))</x:f>
      </x:c>
      <x:c r="I523" s="88" t="str">
        <x:f>IF(C523="","",MAX(0,ROUND(D523+E523-F523-G523-H523,2)))</x:f>
      </x:c>
      <x:c r="J523" s="88" t="str">
        <x:f>IF(C523="","",F523+G523+H523)</x:f>
      </x:c>
      <x:c r="K523" s="88" t="str">
        <x:f>IF(C523="","",MAX(0,SUMIFS(SONDERZAHLUNGEN!$E$9:$E$128,SONDERZAHLUNGEN!$B$9:$B$128,C523,SONDERZAHLUNGEN!$C$9:$C$128,A523,SONDERZAHLUNGEN!$H$9:$H$128,"OK",SONDERZAHLUNGEN!$F$9:$F$128,"Ja")-G523))</x:f>
      </x:c>
    </x:row>
    <x:row r="524" ht="19" customHeight="1">
      <x:c r="A524" s="90" t="n">
        <x:f>MONATSBUDGET!$A$33</x:f>
        <x:v>46997</x:v>
      </x:c>
      <x:c r="B524" t="n">
        <x:f>5</x:f>
        <x:v>5</x:v>
      </x:c>
      <x:c r="C524" t="str">
        <x:f>IF($N$13="","",$N$13)</x:f>
      </x:c>
      <x:c r="D524" s="88" t="str">
        <x:f>IF(C524="","",I504)</x:f>
      </x:c>
      <x:c r="E524" s="88" t="str">
        <x:f>IF(C524="","",ROUND(D524*$P$13/12,2))</x:f>
      </x:c>
      <x:c r="F524" s="88" t="str">
        <x:f>IF(C524="","",MIN(D524+E524,$Q$13))</x:f>
      </x:c>
      <x:c r="G524" s="88" t="str">
        <x:f>IF(C524="","",MIN(MAX(0,D524+E524-F524),SUMIFS(SONDERZAHLUNGEN!$E$9:$E$128,SONDERZAHLUNGEN!$B$9:$B$128,C524,SONDERZAHLUNGEN!$C$9:$C$128,A524,SONDERZAHLUNGEN!$H$9:$H$128,"OK",SONDERZAHLUNGEN!$F$9:$F$128,"Ja")))</x:f>
      </x:c>
      <x:c r="H524" s="88" t="str">
        <x:f>IF(C524="","",MIN(MAX(0,D524+E524-F524-G524),MAX(0,IF(MONATSBUDGET!$C$33="",0,MONATSBUDGET!$C$33)-SUM(F520:F539)-SUM(H520:H523))))</x:f>
      </x:c>
      <x:c r="I524" s="88" t="str">
        <x:f>IF(C524="","",MAX(0,ROUND(D524+E524-F524-G524-H524,2)))</x:f>
      </x:c>
      <x:c r="J524" s="88" t="str">
        <x:f>IF(C524="","",F524+G524+H524)</x:f>
      </x:c>
      <x:c r="K524" s="88" t="str">
        <x:f>IF(C524="","",MAX(0,SUMIFS(SONDERZAHLUNGEN!$E$9:$E$128,SONDERZAHLUNGEN!$B$9:$B$128,C524,SONDERZAHLUNGEN!$C$9:$C$128,A524,SONDERZAHLUNGEN!$H$9:$H$128,"OK",SONDERZAHLUNGEN!$F$9:$F$128,"Ja")-G524))</x:f>
      </x:c>
    </x:row>
    <x:row r="525" ht="19" customHeight="1">
      <x:c r="A525" s="90" t="n">
        <x:f>MONATSBUDGET!$A$33</x:f>
        <x:v>46997</x:v>
      </x:c>
      <x:c r="B525" t="n">
        <x:f>6</x:f>
        <x:v>6</x:v>
      </x:c>
      <x:c r="C525" t="str">
        <x:f>IF($N$14="","",$N$14)</x:f>
      </x:c>
      <x:c r="D525" s="88" t="str">
        <x:f>IF(C525="","",I505)</x:f>
      </x:c>
      <x:c r="E525" s="88" t="str">
        <x:f>IF(C525="","",ROUND(D525*$P$14/12,2))</x:f>
      </x:c>
      <x:c r="F525" s="88" t="str">
        <x:f>IF(C525="","",MIN(D525+E525,$Q$14))</x:f>
      </x:c>
      <x:c r="G525" s="88" t="str">
        <x:f>IF(C525="","",MIN(MAX(0,D525+E525-F525),SUMIFS(SONDERZAHLUNGEN!$E$9:$E$128,SONDERZAHLUNGEN!$B$9:$B$128,C525,SONDERZAHLUNGEN!$C$9:$C$128,A525,SONDERZAHLUNGEN!$H$9:$H$128,"OK",SONDERZAHLUNGEN!$F$9:$F$128,"Ja")))</x:f>
      </x:c>
      <x:c r="H525" s="88" t="str">
        <x:f>IF(C525="","",MIN(MAX(0,D525+E525-F525-G525),MAX(0,IF(MONATSBUDGET!$C$33="",0,MONATSBUDGET!$C$33)-SUM(F520:F539)-SUM(H520:H524))))</x:f>
      </x:c>
      <x:c r="I525" s="88" t="str">
        <x:f>IF(C525="","",MAX(0,ROUND(D525+E525-F525-G525-H525,2)))</x:f>
      </x:c>
      <x:c r="J525" s="88" t="str">
        <x:f>IF(C525="","",F525+G525+H525)</x:f>
      </x:c>
      <x:c r="K525" s="88" t="str">
        <x:f>IF(C525="","",MAX(0,SUMIFS(SONDERZAHLUNGEN!$E$9:$E$128,SONDERZAHLUNGEN!$B$9:$B$128,C525,SONDERZAHLUNGEN!$C$9:$C$128,A525,SONDERZAHLUNGEN!$H$9:$H$128,"OK",SONDERZAHLUNGEN!$F$9:$F$128,"Ja")-G525))</x:f>
      </x:c>
    </x:row>
    <x:row r="526" ht="19" customHeight="1">
      <x:c r="A526" s="90" t="n">
        <x:f>MONATSBUDGET!$A$33</x:f>
        <x:v>46997</x:v>
      </x:c>
      <x:c r="B526" t="n">
        <x:f>7</x:f>
        <x:v>7</x:v>
      </x:c>
      <x:c r="C526" t="str">
        <x:f>IF($N$15="","",$N$15)</x:f>
      </x:c>
      <x:c r="D526" s="88" t="str">
        <x:f>IF(C526="","",I506)</x:f>
      </x:c>
      <x:c r="E526" s="88" t="str">
        <x:f>IF(C526="","",ROUND(D526*$P$15/12,2))</x:f>
      </x:c>
      <x:c r="F526" s="88" t="str">
        <x:f>IF(C526="","",MIN(D526+E526,$Q$15))</x:f>
      </x:c>
      <x:c r="G526" s="88" t="str">
        <x:f>IF(C526="","",MIN(MAX(0,D526+E526-F526),SUMIFS(SONDERZAHLUNGEN!$E$9:$E$128,SONDERZAHLUNGEN!$B$9:$B$128,C526,SONDERZAHLUNGEN!$C$9:$C$128,A526,SONDERZAHLUNGEN!$H$9:$H$128,"OK",SONDERZAHLUNGEN!$F$9:$F$128,"Ja")))</x:f>
      </x:c>
      <x:c r="H526" s="88" t="str">
        <x:f>IF(C526="","",MIN(MAX(0,D526+E526-F526-G526),MAX(0,IF(MONATSBUDGET!$C$33="",0,MONATSBUDGET!$C$33)-SUM(F520:F539)-SUM(H520:H525))))</x:f>
      </x:c>
      <x:c r="I526" s="88" t="str">
        <x:f>IF(C526="","",MAX(0,ROUND(D526+E526-F526-G526-H526,2)))</x:f>
      </x:c>
      <x:c r="J526" s="88" t="str">
        <x:f>IF(C526="","",F526+G526+H526)</x:f>
      </x:c>
      <x:c r="K526" s="88" t="str">
        <x:f>IF(C526="","",MAX(0,SUMIFS(SONDERZAHLUNGEN!$E$9:$E$128,SONDERZAHLUNGEN!$B$9:$B$128,C526,SONDERZAHLUNGEN!$C$9:$C$128,A526,SONDERZAHLUNGEN!$H$9:$H$128,"OK",SONDERZAHLUNGEN!$F$9:$F$128,"Ja")-G526))</x:f>
      </x:c>
    </x:row>
    <x:row r="527" ht="19" customHeight="1">
      <x:c r="A527" s="90" t="n">
        <x:f>MONATSBUDGET!$A$33</x:f>
        <x:v>46997</x:v>
      </x:c>
      <x:c r="B527" t="n">
        <x:f>8</x:f>
        <x:v>8</x:v>
      </x:c>
      <x:c r="C527" t="str">
        <x:f>IF($N$16="","",$N$16)</x:f>
      </x:c>
      <x:c r="D527" s="88" t="str">
        <x:f>IF(C527="","",I507)</x:f>
      </x:c>
      <x:c r="E527" s="88" t="str">
        <x:f>IF(C527="","",ROUND(D527*$P$16/12,2))</x:f>
      </x:c>
      <x:c r="F527" s="88" t="str">
        <x:f>IF(C527="","",MIN(D527+E527,$Q$16))</x:f>
      </x:c>
      <x:c r="G527" s="88" t="str">
        <x:f>IF(C527="","",MIN(MAX(0,D527+E527-F527),SUMIFS(SONDERZAHLUNGEN!$E$9:$E$128,SONDERZAHLUNGEN!$B$9:$B$128,C527,SONDERZAHLUNGEN!$C$9:$C$128,A527,SONDERZAHLUNGEN!$H$9:$H$128,"OK",SONDERZAHLUNGEN!$F$9:$F$128,"Ja")))</x:f>
      </x:c>
      <x:c r="H527" s="88" t="str">
        <x:f>IF(C527="","",MIN(MAX(0,D527+E527-F527-G527),MAX(0,IF(MONATSBUDGET!$C$33="",0,MONATSBUDGET!$C$33)-SUM(F520:F539)-SUM(H520:H526))))</x:f>
      </x:c>
      <x:c r="I527" s="88" t="str">
        <x:f>IF(C527="","",MAX(0,ROUND(D527+E527-F527-G527-H527,2)))</x:f>
      </x:c>
      <x:c r="J527" s="88" t="str">
        <x:f>IF(C527="","",F527+G527+H527)</x:f>
      </x:c>
      <x:c r="K527" s="88" t="str">
        <x:f>IF(C527="","",MAX(0,SUMIFS(SONDERZAHLUNGEN!$E$9:$E$128,SONDERZAHLUNGEN!$B$9:$B$128,C527,SONDERZAHLUNGEN!$C$9:$C$128,A527,SONDERZAHLUNGEN!$H$9:$H$128,"OK",SONDERZAHLUNGEN!$F$9:$F$128,"Ja")-G527))</x:f>
      </x:c>
    </x:row>
    <x:row r="528" ht="19" customHeight="1">
      <x:c r="A528" s="90" t="n">
        <x:f>MONATSBUDGET!$A$33</x:f>
        <x:v>46997</x:v>
      </x:c>
      <x:c r="B528" t="n">
        <x:f>9</x:f>
        <x:v>9</x:v>
      </x:c>
      <x:c r="C528" t="str">
        <x:f>IF($N$17="","",$N$17)</x:f>
      </x:c>
      <x:c r="D528" s="88" t="str">
        <x:f>IF(C528="","",I508)</x:f>
      </x:c>
      <x:c r="E528" s="88" t="str">
        <x:f>IF(C528="","",ROUND(D528*$P$17/12,2))</x:f>
      </x:c>
      <x:c r="F528" s="88" t="str">
        <x:f>IF(C528="","",MIN(D528+E528,$Q$17))</x:f>
      </x:c>
      <x:c r="G528" s="88" t="str">
        <x:f>IF(C528="","",MIN(MAX(0,D528+E528-F528),SUMIFS(SONDERZAHLUNGEN!$E$9:$E$128,SONDERZAHLUNGEN!$B$9:$B$128,C528,SONDERZAHLUNGEN!$C$9:$C$128,A528,SONDERZAHLUNGEN!$H$9:$H$128,"OK",SONDERZAHLUNGEN!$F$9:$F$128,"Ja")))</x:f>
      </x:c>
      <x:c r="H528" s="88" t="str">
        <x:f>IF(C528="","",MIN(MAX(0,D528+E528-F528-G528),MAX(0,IF(MONATSBUDGET!$C$33="",0,MONATSBUDGET!$C$33)-SUM(F520:F539)-SUM(H520:H527))))</x:f>
      </x:c>
      <x:c r="I528" s="88" t="str">
        <x:f>IF(C528="","",MAX(0,ROUND(D528+E528-F528-G528-H528,2)))</x:f>
      </x:c>
      <x:c r="J528" s="88" t="str">
        <x:f>IF(C528="","",F528+G528+H528)</x:f>
      </x:c>
      <x:c r="K528" s="88" t="str">
        <x:f>IF(C528="","",MAX(0,SUMIFS(SONDERZAHLUNGEN!$E$9:$E$128,SONDERZAHLUNGEN!$B$9:$B$128,C528,SONDERZAHLUNGEN!$C$9:$C$128,A528,SONDERZAHLUNGEN!$H$9:$H$128,"OK",SONDERZAHLUNGEN!$F$9:$F$128,"Ja")-G528))</x:f>
      </x:c>
    </x:row>
    <x:row r="529" ht="19" customHeight="1">
      <x:c r="A529" s="90" t="n">
        <x:f>MONATSBUDGET!$A$33</x:f>
        <x:v>46997</x:v>
      </x:c>
      <x:c r="B529" t="n">
        <x:f>10</x:f>
        <x:v>10</x:v>
      </x:c>
      <x:c r="C529" t="str">
        <x:f>IF($N$18="","",$N$18)</x:f>
      </x:c>
      <x:c r="D529" s="88" t="str">
        <x:f>IF(C529="","",I509)</x:f>
      </x:c>
      <x:c r="E529" s="88" t="str">
        <x:f>IF(C529="","",ROUND(D529*$P$18/12,2))</x:f>
      </x:c>
      <x:c r="F529" s="88" t="str">
        <x:f>IF(C529="","",MIN(D529+E529,$Q$18))</x:f>
      </x:c>
      <x:c r="G529" s="88" t="str">
        <x:f>IF(C529="","",MIN(MAX(0,D529+E529-F529),SUMIFS(SONDERZAHLUNGEN!$E$9:$E$128,SONDERZAHLUNGEN!$B$9:$B$128,C529,SONDERZAHLUNGEN!$C$9:$C$128,A529,SONDERZAHLUNGEN!$H$9:$H$128,"OK",SONDERZAHLUNGEN!$F$9:$F$128,"Ja")))</x:f>
      </x:c>
      <x:c r="H529" s="88" t="str">
        <x:f>IF(C529="","",MIN(MAX(0,D529+E529-F529-G529),MAX(0,IF(MONATSBUDGET!$C$33="",0,MONATSBUDGET!$C$33)-SUM(F520:F539)-SUM(H520:H528))))</x:f>
      </x:c>
      <x:c r="I529" s="88" t="str">
        <x:f>IF(C529="","",MAX(0,ROUND(D529+E529-F529-G529-H529,2)))</x:f>
      </x:c>
      <x:c r="J529" s="88" t="str">
        <x:f>IF(C529="","",F529+G529+H529)</x:f>
      </x:c>
      <x:c r="K529" s="88" t="str">
        <x:f>IF(C529="","",MAX(0,SUMIFS(SONDERZAHLUNGEN!$E$9:$E$128,SONDERZAHLUNGEN!$B$9:$B$128,C529,SONDERZAHLUNGEN!$C$9:$C$128,A529,SONDERZAHLUNGEN!$H$9:$H$128,"OK",SONDERZAHLUNGEN!$F$9:$F$128,"Ja")-G529))</x:f>
      </x:c>
    </x:row>
    <x:row r="530" ht="19" customHeight="1">
      <x:c r="A530" s="90" t="n">
        <x:f>MONATSBUDGET!$A$33</x:f>
        <x:v>46997</x:v>
      </x:c>
      <x:c r="B530" t="n">
        <x:f>11</x:f>
        <x:v>11</x:v>
      </x:c>
      <x:c r="C530" t="str">
        <x:f>IF($N$19="","",$N$19)</x:f>
      </x:c>
      <x:c r="D530" s="88" t="str">
        <x:f>IF(C530="","",I510)</x:f>
      </x:c>
      <x:c r="E530" s="88" t="str">
        <x:f>IF(C530="","",ROUND(D530*$P$19/12,2))</x:f>
      </x:c>
      <x:c r="F530" s="88" t="str">
        <x:f>IF(C530="","",MIN(D530+E530,$Q$19))</x:f>
      </x:c>
      <x:c r="G530" s="88" t="str">
        <x:f>IF(C530="","",MIN(MAX(0,D530+E530-F530),SUMIFS(SONDERZAHLUNGEN!$E$9:$E$128,SONDERZAHLUNGEN!$B$9:$B$128,C530,SONDERZAHLUNGEN!$C$9:$C$128,A530,SONDERZAHLUNGEN!$H$9:$H$128,"OK",SONDERZAHLUNGEN!$F$9:$F$128,"Ja")))</x:f>
      </x:c>
      <x:c r="H530" s="88" t="str">
        <x:f>IF(C530="","",MIN(MAX(0,D530+E530-F530-G530),MAX(0,IF(MONATSBUDGET!$C$33="",0,MONATSBUDGET!$C$33)-SUM(F520:F539)-SUM(H520:H529))))</x:f>
      </x:c>
      <x:c r="I530" s="88" t="str">
        <x:f>IF(C530="","",MAX(0,ROUND(D530+E530-F530-G530-H530,2)))</x:f>
      </x:c>
      <x:c r="J530" s="88" t="str">
        <x:f>IF(C530="","",F530+G530+H530)</x:f>
      </x:c>
      <x:c r="K530" s="88" t="str">
        <x:f>IF(C530="","",MAX(0,SUMIFS(SONDERZAHLUNGEN!$E$9:$E$128,SONDERZAHLUNGEN!$B$9:$B$128,C530,SONDERZAHLUNGEN!$C$9:$C$128,A530,SONDERZAHLUNGEN!$H$9:$H$128,"OK",SONDERZAHLUNGEN!$F$9:$F$128,"Ja")-G530))</x:f>
      </x:c>
    </x:row>
    <x:row r="531" ht="19" customHeight="1">
      <x:c r="A531" s="90" t="n">
        <x:f>MONATSBUDGET!$A$33</x:f>
        <x:v>46997</x:v>
      </x:c>
      <x:c r="B531" t="n">
        <x:f>12</x:f>
        <x:v>12</x:v>
      </x:c>
      <x:c r="C531" t="str">
        <x:f>IF($N$20="","",$N$20)</x:f>
      </x:c>
      <x:c r="D531" s="88" t="str">
        <x:f>IF(C531="","",I511)</x:f>
      </x:c>
      <x:c r="E531" s="88" t="str">
        <x:f>IF(C531="","",ROUND(D531*$P$20/12,2))</x:f>
      </x:c>
      <x:c r="F531" s="88" t="str">
        <x:f>IF(C531="","",MIN(D531+E531,$Q$20))</x:f>
      </x:c>
      <x:c r="G531" s="88" t="str">
        <x:f>IF(C531="","",MIN(MAX(0,D531+E531-F531),SUMIFS(SONDERZAHLUNGEN!$E$9:$E$128,SONDERZAHLUNGEN!$B$9:$B$128,C531,SONDERZAHLUNGEN!$C$9:$C$128,A531,SONDERZAHLUNGEN!$H$9:$H$128,"OK",SONDERZAHLUNGEN!$F$9:$F$128,"Ja")))</x:f>
      </x:c>
      <x:c r="H531" s="88" t="str">
        <x:f>IF(C531="","",MIN(MAX(0,D531+E531-F531-G531),MAX(0,IF(MONATSBUDGET!$C$33="",0,MONATSBUDGET!$C$33)-SUM(F520:F539)-SUM(H520:H530))))</x:f>
      </x:c>
      <x:c r="I531" s="88" t="str">
        <x:f>IF(C531="","",MAX(0,ROUND(D531+E531-F531-G531-H531,2)))</x:f>
      </x:c>
      <x:c r="J531" s="88" t="str">
        <x:f>IF(C531="","",F531+G531+H531)</x:f>
      </x:c>
      <x:c r="K531" s="88" t="str">
        <x:f>IF(C531="","",MAX(0,SUMIFS(SONDERZAHLUNGEN!$E$9:$E$128,SONDERZAHLUNGEN!$B$9:$B$128,C531,SONDERZAHLUNGEN!$C$9:$C$128,A531,SONDERZAHLUNGEN!$H$9:$H$128,"OK",SONDERZAHLUNGEN!$F$9:$F$128,"Ja")-G531))</x:f>
      </x:c>
    </x:row>
    <x:row r="532" ht="19" customHeight="1">
      <x:c r="A532" s="90" t="n">
        <x:f>MONATSBUDGET!$A$33</x:f>
        <x:v>46997</x:v>
      </x:c>
      <x:c r="B532" t="n">
        <x:f>13</x:f>
        <x:v>13</x:v>
      </x:c>
      <x:c r="C532" t="str">
        <x:f>IF($N$21="","",$N$21)</x:f>
      </x:c>
      <x:c r="D532" s="88" t="str">
        <x:f>IF(C532="","",I512)</x:f>
      </x:c>
      <x:c r="E532" s="88" t="str">
        <x:f>IF(C532="","",ROUND(D532*$P$21/12,2))</x:f>
      </x:c>
      <x:c r="F532" s="88" t="str">
        <x:f>IF(C532="","",MIN(D532+E532,$Q$21))</x:f>
      </x:c>
      <x:c r="G532" s="88" t="str">
        <x:f>IF(C532="","",MIN(MAX(0,D532+E532-F532),SUMIFS(SONDERZAHLUNGEN!$E$9:$E$128,SONDERZAHLUNGEN!$B$9:$B$128,C532,SONDERZAHLUNGEN!$C$9:$C$128,A532,SONDERZAHLUNGEN!$H$9:$H$128,"OK",SONDERZAHLUNGEN!$F$9:$F$128,"Ja")))</x:f>
      </x:c>
      <x:c r="H532" s="88" t="str">
        <x:f>IF(C532="","",MIN(MAX(0,D532+E532-F532-G532),MAX(0,IF(MONATSBUDGET!$C$33="",0,MONATSBUDGET!$C$33)-SUM(F520:F539)-SUM(H520:H531))))</x:f>
      </x:c>
      <x:c r="I532" s="88" t="str">
        <x:f>IF(C532="","",MAX(0,ROUND(D532+E532-F532-G532-H532,2)))</x:f>
      </x:c>
      <x:c r="J532" s="88" t="str">
        <x:f>IF(C532="","",F532+G532+H532)</x:f>
      </x:c>
      <x:c r="K532" s="88" t="str">
        <x:f>IF(C532="","",MAX(0,SUMIFS(SONDERZAHLUNGEN!$E$9:$E$128,SONDERZAHLUNGEN!$B$9:$B$128,C532,SONDERZAHLUNGEN!$C$9:$C$128,A532,SONDERZAHLUNGEN!$H$9:$H$128,"OK",SONDERZAHLUNGEN!$F$9:$F$128,"Ja")-G532))</x:f>
      </x:c>
    </x:row>
    <x:row r="533" ht="19" customHeight="1">
      <x:c r="A533" s="90" t="n">
        <x:f>MONATSBUDGET!$A$33</x:f>
        <x:v>46997</x:v>
      </x:c>
      <x:c r="B533" t="n">
        <x:f>14</x:f>
        <x:v>14</x:v>
      </x:c>
      <x:c r="C533" t="str">
        <x:f>IF($N$22="","",$N$22)</x:f>
      </x:c>
      <x:c r="D533" s="88" t="str">
        <x:f>IF(C533="","",I513)</x:f>
      </x:c>
      <x:c r="E533" s="88" t="str">
        <x:f>IF(C533="","",ROUND(D533*$P$22/12,2))</x:f>
      </x:c>
      <x:c r="F533" s="88" t="str">
        <x:f>IF(C533="","",MIN(D533+E533,$Q$22))</x:f>
      </x:c>
      <x:c r="G533" s="88" t="str">
        <x:f>IF(C533="","",MIN(MAX(0,D533+E533-F533),SUMIFS(SONDERZAHLUNGEN!$E$9:$E$128,SONDERZAHLUNGEN!$B$9:$B$128,C533,SONDERZAHLUNGEN!$C$9:$C$128,A533,SONDERZAHLUNGEN!$H$9:$H$128,"OK",SONDERZAHLUNGEN!$F$9:$F$128,"Ja")))</x:f>
      </x:c>
      <x:c r="H533" s="88" t="str">
        <x:f>IF(C533="","",MIN(MAX(0,D533+E533-F533-G533),MAX(0,IF(MONATSBUDGET!$C$33="",0,MONATSBUDGET!$C$33)-SUM(F520:F539)-SUM(H520:H532))))</x:f>
      </x:c>
      <x:c r="I533" s="88" t="str">
        <x:f>IF(C533="","",MAX(0,ROUND(D533+E533-F533-G533-H533,2)))</x:f>
      </x:c>
      <x:c r="J533" s="88" t="str">
        <x:f>IF(C533="","",F533+G533+H533)</x:f>
      </x:c>
      <x:c r="K533" s="88" t="str">
        <x:f>IF(C533="","",MAX(0,SUMIFS(SONDERZAHLUNGEN!$E$9:$E$128,SONDERZAHLUNGEN!$B$9:$B$128,C533,SONDERZAHLUNGEN!$C$9:$C$128,A533,SONDERZAHLUNGEN!$H$9:$H$128,"OK",SONDERZAHLUNGEN!$F$9:$F$128,"Ja")-G533))</x:f>
      </x:c>
    </x:row>
    <x:row r="534" ht="19" customHeight="1">
      <x:c r="A534" s="90" t="n">
        <x:f>MONATSBUDGET!$A$33</x:f>
        <x:v>46997</x:v>
      </x:c>
      <x:c r="B534" t="n">
        <x:f>15</x:f>
        <x:v>15</x:v>
      </x:c>
      <x:c r="C534" t="str">
        <x:f>IF($N$23="","",$N$23)</x:f>
      </x:c>
      <x:c r="D534" s="88" t="str">
        <x:f>IF(C534="","",I514)</x:f>
      </x:c>
      <x:c r="E534" s="88" t="str">
        <x:f>IF(C534="","",ROUND(D534*$P$23/12,2))</x:f>
      </x:c>
      <x:c r="F534" s="88" t="str">
        <x:f>IF(C534="","",MIN(D534+E534,$Q$23))</x:f>
      </x:c>
      <x:c r="G534" s="88" t="str">
        <x:f>IF(C534="","",MIN(MAX(0,D534+E534-F534),SUMIFS(SONDERZAHLUNGEN!$E$9:$E$128,SONDERZAHLUNGEN!$B$9:$B$128,C534,SONDERZAHLUNGEN!$C$9:$C$128,A534,SONDERZAHLUNGEN!$H$9:$H$128,"OK",SONDERZAHLUNGEN!$F$9:$F$128,"Ja")))</x:f>
      </x:c>
      <x:c r="H534" s="88" t="str">
        <x:f>IF(C534="","",MIN(MAX(0,D534+E534-F534-G534),MAX(0,IF(MONATSBUDGET!$C$33="",0,MONATSBUDGET!$C$33)-SUM(F520:F539)-SUM(H520:H533))))</x:f>
      </x:c>
      <x:c r="I534" s="88" t="str">
        <x:f>IF(C534="","",MAX(0,ROUND(D534+E534-F534-G534-H534,2)))</x:f>
      </x:c>
      <x:c r="J534" s="88" t="str">
        <x:f>IF(C534="","",F534+G534+H534)</x:f>
      </x:c>
      <x:c r="K534" s="88" t="str">
        <x:f>IF(C534="","",MAX(0,SUMIFS(SONDERZAHLUNGEN!$E$9:$E$128,SONDERZAHLUNGEN!$B$9:$B$128,C534,SONDERZAHLUNGEN!$C$9:$C$128,A534,SONDERZAHLUNGEN!$H$9:$H$128,"OK",SONDERZAHLUNGEN!$F$9:$F$128,"Ja")-G534))</x:f>
      </x:c>
    </x:row>
    <x:row r="535" ht="19" customHeight="1">
      <x:c r="A535" s="90" t="n">
        <x:f>MONATSBUDGET!$A$33</x:f>
        <x:v>46997</x:v>
      </x:c>
      <x:c r="B535" t="n">
        <x:f>16</x:f>
        <x:v>16</x:v>
      </x:c>
      <x:c r="C535" t="str">
        <x:f>IF($N$24="","",$N$24)</x:f>
      </x:c>
      <x:c r="D535" s="88" t="str">
        <x:f>IF(C535="","",I515)</x:f>
      </x:c>
      <x:c r="E535" s="88" t="str">
        <x:f>IF(C535="","",ROUND(D535*$P$24/12,2))</x:f>
      </x:c>
      <x:c r="F535" s="88" t="str">
        <x:f>IF(C535="","",MIN(D535+E535,$Q$24))</x:f>
      </x:c>
      <x:c r="G535" s="88" t="str">
        <x:f>IF(C535="","",MIN(MAX(0,D535+E535-F535),SUMIFS(SONDERZAHLUNGEN!$E$9:$E$128,SONDERZAHLUNGEN!$B$9:$B$128,C535,SONDERZAHLUNGEN!$C$9:$C$128,A535,SONDERZAHLUNGEN!$H$9:$H$128,"OK",SONDERZAHLUNGEN!$F$9:$F$128,"Ja")))</x:f>
      </x:c>
      <x:c r="H535" s="88" t="str">
        <x:f>IF(C535="","",MIN(MAX(0,D535+E535-F535-G535),MAX(0,IF(MONATSBUDGET!$C$33="",0,MONATSBUDGET!$C$33)-SUM(F520:F539)-SUM(H520:H534))))</x:f>
      </x:c>
      <x:c r="I535" s="88" t="str">
        <x:f>IF(C535="","",MAX(0,ROUND(D535+E535-F535-G535-H535,2)))</x:f>
      </x:c>
      <x:c r="J535" s="88" t="str">
        <x:f>IF(C535="","",F535+G535+H535)</x:f>
      </x:c>
      <x:c r="K535" s="88" t="str">
        <x:f>IF(C535="","",MAX(0,SUMIFS(SONDERZAHLUNGEN!$E$9:$E$128,SONDERZAHLUNGEN!$B$9:$B$128,C535,SONDERZAHLUNGEN!$C$9:$C$128,A535,SONDERZAHLUNGEN!$H$9:$H$128,"OK",SONDERZAHLUNGEN!$F$9:$F$128,"Ja")-G535))</x:f>
      </x:c>
    </x:row>
    <x:row r="536" ht="19" customHeight="1">
      <x:c r="A536" s="90" t="n">
        <x:f>MONATSBUDGET!$A$33</x:f>
        <x:v>46997</x:v>
      </x:c>
      <x:c r="B536" t="n">
        <x:f>17</x:f>
        <x:v>17</x:v>
      </x:c>
      <x:c r="C536" t="str">
        <x:f>IF($N$25="","",$N$25)</x:f>
      </x:c>
      <x:c r="D536" s="88" t="str">
        <x:f>IF(C536="","",I516)</x:f>
      </x:c>
      <x:c r="E536" s="88" t="str">
        <x:f>IF(C536="","",ROUND(D536*$P$25/12,2))</x:f>
      </x:c>
      <x:c r="F536" s="88" t="str">
        <x:f>IF(C536="","",MIN(D536+E536,$Q$25))</x:f>
      </x:c>
      <x:c r="G536" s="88" t="str">
        <x:f>IF(C536="","",MIN(MAX(0,D536+E536-F536),SUMIFS(SONDERZAHLUNGEN!$E$9:$E$128,SONDERZAHLUNGEN!$B$9:$B$128,C536,SONDERZAHLUNGEN!$C$9:$C$128,A536,SONDERZAHLUNGEN!$H$9:$H$128,"OK",SONDERZAHLUNGEN!$F$9:$F$128,"Ja")))</x:f>
      </x:c>
      <x:c r="H536" s="88" t="str">
        <x:f>IF(C536="","",MIN(MAX(0,D536+E536-F536-G536),MAX(0,IF(MONATSBUDGET!$C$33="",0,MONATSBUDGET!$C$33)-SUM(F520:F539)-SUM(H520:H535))))</x:f>
      </x:c>
      <x:c r="I536" s="88" t="str">
        <x:f>IF(C536="","",MAX(0,ROUND(D536+E536-F536-G536-H536,2)))</x:f>
      </x:c>
      <x:c r="J536" s="88" t="str">
        <x:f>IF(C536="","",F536+G536+H536)</x:f>
      </x:c>
      <x:c r="K536" s="88" t="str">
        <x:f>IF(C536="","",MAX(0,SUMIFS(SONDERZAHLUNGEN!$E$9:$E$128,SONDERZAHLUNGEN!$B$9:$B$128,C536,SONDERZAHLUNGEN!$C$9:$C$128,A536,SONDERZAHLUNGEN!$H$9:$H$128,"OK",SONDERZAHLUNGEN!$F$9:$F$128,"Ja")-G536))</x:f>
      </x:c>
    </x:row>
    <x:row r="537" ht="19" customHeight="1">
      <x:c r="A537" s="90" t="n">
        <x:f>MONATSBUDGET!$A$33</x:f>
        <x:v>46997</x:v>
      </x:c>
      <x:c r="B537" t="n">
        <x:f>18</x:f>
        <x:v>18</x:v>
      </x:c>
      <x:c r="C537" t="str">
        <x:f>IF($N$26="","",$N$26)</x:f>
      </x:c>
      <x:c r="D537" s="88" t="str">
        <x:f>IF(C537="","",I517)</x:f>
      </x:c>
      <x:c r="E537" s="88" t="str">
        <x:f>IF(C537="","",ROUND(D537*$P$26/12,2))</x:f>
      </x:c>
      <x:c r="F537" s="88" t="str">
        <x:f>IF(C537="","",MIN(D537+E537,$Q$26))</x:f>
      </x:c>
      <x:c r="G537" s="88" t="str">
        <x:f>IF(C537="","",MIN(MAX(0,D537+E537-F537),SUMIFS(SONDERZAHLUNGEN!$E$9:$E$128,SONDERZAHLUNGEN!$B$9:$B$128,C537,SONDERZAHLUNGEN!$C$9:$C$128,A537,SONDERZAHLUNGEN!$H$9:$H$128,"OK",SONDERZAHLUNGEN!$F$9:$F$128,"Ja")))</x:f>
      </x:c>
      <x:c r="H537" s="88" t="str">
        <x:f>IF(C537="","",MIN(MAX(0,D537+E537-F537-G537),MAX(0,IF(MONATSBUDGET!$C$33="",0,MONATSBUDGET!$C$33)-SUM(F520:F539)-SUM(H520:H536))))</x:f>
      </x:c>
      <x:c r="I537" s="88" t="str">
        <x:f>IF(C537="","",MAX(0,ROUND(D537+E537-F537-G537-H537,2)))</x:f>
      </x:c>
      <x:c r="J537" s="88" t="str">
        <x:f>IF(C537="","",F537+G537+H537)</x:f>
      </x:c>
      <x:c r="K537" s="88" t="str">
        <x:f>IF(C537="","",MAX(0,SUMIFS(SONDERZAHLUNGEN!$E$9:$E$128,SONDERZAHLUNGEN!$B$9:$B$128,C537,SONDERZAHLUNGEN!$C$9:$C$128,A537,SONDERZAHLUNGEN!$H$9:$H$128,"OK",SONDERZAHLUNGEN!$F$9:$F$128,"Ja")-G537))</x:f>
      </x:c>
    </x:row>
    <x:row r="538" ht="19" customHeight="1">
      <x:c r="A538" s="90" t="n">
        <x:f>MONATSBUDGET!$A$33</x:f>
        <x:v>46997</x:v>
      </x:c>
      <x:c r="B538" t="n">
        <x:f>19</x:f>
        <x:v>19</x:v>
      </x:c>
      <x:c r="C538" t="str">
        <x:f>IF($N$27="","",$N$27)</x:f>
      </x:c>
      <x:c r="D538" s="88" t="str">
        <x:f>IF(C538="","",I518)</x:f>
      </x:c>
      <x:c r="E538" s="88" t="str">
        <x:f>IF(C538="","",ROUND(D538*$P$27/12,2))</x:f>
      </x:c>
      <x:c r="F538" s="88" t="str">
        <x:f>IF(C538="","",MIN(D538+E538,$Q$27))</x:f>
      </x:c>
      <x:c r="G538" s="88" t="str">
        <x:f>IF(C538="","",MIN(MAX(0,D538+E538-F538),SUMIFS(SONDERZAHLUNGEN!$E$9:$E$128,SONDERZAHLUNGEN!$B$9:$B$128,C538,SONDERZAHLUNGEN!$C$9:$C$128,A538,SONDERZAHLUNGEN!$H$9:$H$128,"OK",SONDERZAHLUNGEN!$F$9:$F$128,"Ja")))</x:f>
      </x:c>
      <x:c r="H538" s="88" t="str">
        <x:f>IF(C538="","",MIN(MAX(0,D538+E538-F538-G538),MAX(0,IF(MONATSBUDGET!$C$33="",0,MONATSBUDGET!$C$33)-SUM(F520:F539)-SUM(H520:H537))))</x:f>
      </x:c>
      <x:c r="I538" s="88" t="str">
        <x:f>IF(C538="","",MAX(0,ROUND(D538+E538-F538-G538-H538,2)))</x:f>
      </x:c>
      <x:c r="J538" s="88" t="str">
        <x:f>IF(C538="","",F538+G538+H538)</x:f>
      </x:c>
      <x:c r="K538" s="88" t="str">
        <x:f>IF(C538="","",MAX(0,SUMIFS(SONDERZAHLUNGEN!$E$9:$E$128,SONDERZAHLUNGEN!$B$9:$B$128,C538,SONDERZAHLUNGEN!$C$9:$C$128,A538,SONDERZAHLUNGEN!$H$9:$H$128,"OK",SONDERZAHLUNGEN!$F$9:$F$128,"Ja")-G538))</x:f>
      </x:c>
    </x:row>
    <x:row r="539" ht="19" customHeight="1">
      <x:c r="A539" s="90" t="n">
        <x:f>MONATSBUDGET!$A$33</x:f>
        <x:v>46997</x:v>
      </x:c>
      <x:c r="B539" t="n">
        <x:f>20</x:f>
        <x:v>20</x:v>
      </x:c>
      <x:c r="C539" t="str">
        <x:f>IF($N$28="","",$N$28)</x:f>
      </x:c>
      <x:c r="D539" s="88" t="str">
        <x:f>IF(C539="","",I519)</x:f>
      </x:c>
      <x:c r="E539" s="88" t="str">
        <x:f>IF(C539="","",ROUND(D539*$P$28/12,2))</x:f>
      </x:c>
      <x:c r="F539" s="88" t="str">
        <x:f>IF(C539="","",MIN(D539+E539,$Q$28))</x:f>
      </x:c>
      <x:c r="G539" s="88" t="str">
        <x:f>IF(C539="","",MIN(MAX(0,D539+E539-F539),SUMIFS(SONDERZAHLUNGEN!$E$9:$E$128,SONDERZAHLUNGEN!$B$9:$B$128,C539,SONDERZAHLUNGEN!$C$9:$C$128,A539,SONDERZAHLUNGEN!$H$9:$H$128,"OK",SONDERZAHLUNGEN!$F$9:$F$128,"Ja")))</x:f>
      </x:c>
      <x:c r="H539" s="88" t="str">
        <x:f>IF(C539="","",MIN(MAX(0,D539+E539-F539-G539),MAX(0,IF(MONATSBUDGET!$C$33="",0,MONATSBUDGET!$C$33)-SUM(F520:F539)-SUM(H520:H538))))</x:f>
      </x:c>
      <x:c r="I539" s="88" t="str">
        <x:f>IF(C539="","",MAX(0,ROUND(D539+E539-F539-G539-H539,2)))</x:f>
      </x:c>
      <x:c r="J539" s="88" t="str">
        <x:f>IF(C539="","",F539+G539+H539)</x:f>
      </x:c>
      <x:c r="K539" s="88" t="str">
        <x:f>IF(C539="","",MAX(0,SUMIFS(SONDERZAHLUNGEN!$E$9:$E$128,SONDERZAHLUNGEN!$B$9:$B$128,C539,SONDERZAHLUNGEN!$C$9:$C$128,A539,SONDERZAHLUNGEN!$H$9:$H$128,"OK",SONDERZAHLUNGEN!$F$9:$F$128,"Ja")-G539))</x:f>
      </x:c>
    </x:row>
    <x:row r="540" ht="19" customHeight="1">
      <x:c r="A540" s="90" t="n">
        <x:f>MONATSBUDGET!$A$34</x:f>
        <x:v>47027</x:v>
      </x:c>
      <x:c r="B540" t="n">
        <x:f>1</x:f>
        <x:v>1</x:v>
      </x:c>
      <x:c r="C540" t="str">
        <x:f>IF($N$9="","",$N$9)</x:f>
      </x:c>
      <x:c r="D540" s="88" t="str">
        <x:f>IF(C540="","",I520)</x:f>
      </x:c>
      <x:c r="E540" s="88" t="str">
        <x:f>IF(C540="","",ROUND(D540*$P$9/12,2))</x:f>
      </x:c>
      <x:c r="F540" s="88" t="str">
        <x:f>IF(C540="","",MIN(D540+E540,$Q$9))</x:f>
      </x:c>
      <x:c r="G540" s="88" t="str">
        <x:f>IF(C540="","",MIN(MAX(0,D540+E540-F540),SUMIFS(SONDERZAHLUNGEN!$E$9:$E$128,SONDERZAHLUNGEN!$B$9:$B$128,C540,SONDERZAHLUNGEN!$C$9:$C$128,A540,SONDERZAHLUNGEN!$H$9:$H$128,"OK",SONDERZAHLUNGEN!$F$9:$F$128,"Ja")))</x:f>
      </x:c>
      <x:c r="H540" s="88" t="str">
        <x:f>IF(C540="","",MIN(MAX(0,D540+E540-F540-G540),MAX(0,IF(MONATSBUDGET!$C$34="",0,MONATSBUDGET!$C$34)-SUM(F540:F559)-0)))</x:f>
      </x:c>
      <x:c r="I540" s="88" t="str">
        <x:f>IF(C540="","",MAX(0,ROUND(D540+E540-F540-G540-H540,2)))</x:f>
      </x:c>
      <x:c r="J540" s="88" t="str">
        <x:f>IF(C540="","",F540+G540+H540)</x:f>
      </x:c>
      <x:c r="K540" s="88" t="str">
        <x:f>IF(C540="","",MAX(0,SUMIFS(SONDERZAHLUNGEN!$E$9:$E$128,SONDERZAHLUNGEN!$B$9:$B$128,C540,SONDERZAHLUNGEN!$C$9:$C$128,A540,SONDERZAHLUNGEN!$H$9:$H$128,"OK",SONDERZAHLUNGEN!$F$9:$F$128,"Ja")-G540))</x:f>
      </x:c>
    </x:row>
    <x:row r="541" ht="19" customHeight="1">
      <x:c r="A541" s="90" t="n">
        <x:f>MONATSBUDGET!$A$34</x:f>
        <x:v>47027</x:v>
      </x:c>
      <x:c r="B541" t="n">
        <x:f>2</x:f>
        <x:v>2</x:v>
      </x:c>
      <x:c r="C541" t="str">
        <x:f>IF($N$10="","",$N$10)</x:f>
      </x:c>
      <x:c r="D541" s="88" t="str">
        <x:f>IF(C541="","",I521)</x:f>
      </x:c>
      <x:c r="E541" s="88" t="str">
        <x:f>IF(C541="","",ROUND(D541*$P$10/12,2))</x:f>
      </x:c>
      <x:c r="F541" s="88" t="str">
        <x:f>IF(C541="","",MIN(D541+E541,$Q$10))</x:f>
      </x:c>
      <x:c r="G541" s="88" t="str">
        <x:f>IF(C541="","",MIN(MAX(0,D541+E541-F541),SUMIFS(SONDERZAHLUNGEN!$E$9:$E$128,SONDERZAHLUNGEN!$B$9:$B$128,C541,SONDERZAHLUNGEN!$C$9:$C$128,A541,SONDERZAHLUNGEN!$H$9:$H$128,"OK",SONDERZAHLUNGEN!$F$9:$F$128,"Ja")))</x:f>
      </x:c>
      <x:c r="H541" s="88" t="str">
        <x:f>IF(C541="","",MIN(MAX(0,D541+E541-F541-G541),MAX(0,IF(MONATSBUDGET!$C$34="",0,MONATSBUDGET!$C$34)-SUM(F540:F559)-SUM(H540:H540))))</x:f>
      </x:c>
      <x:c r="I541" s="88" t="str">
        <x:f>IF(C541="","",MAX(0,ROUND(D541+E541-F541-G541-H541,2)))</x:f>
      </x:c>
      <x:c r="J541" s="88" t="str">
        <x:f>IF(C541="","",F541+G541+H541)</x:f>
      </x:c>
      <x:c r="K541" s="88" t="str">
        <x:f>IF(C541="","",MAX(0,SUMIFS(SONDERZAHLUNGEN!$E$9:$E$128,SONDERZAHLUNGEN!$B$9:$B$128,C541,SONDERZAHLUNGEN!$C$9:$C$128,A541,SONDERZAHLUNGEN!$H$9:$H$128,"OK",SONDERZAHLUNGEN!$F$9:$F$128,"Ja")-G541))</x:f>
      </x:c>
    </x:row>
    <x:row r="542" ht="19" customHeight="1">
      <x:c r="A542" s="90" t="n">
        <x:f>MONATSBUDGET!$A$34</x:f>
        <x:v>47027</x:v>
      </x:c>
      <x:c r="B542" t="n">
        <x:f>3</x:f>
        <x:v>3</x:v>
      </x:c>
      <x:c r="C542" t="str">
        <x:f>IF($N$11="","",$N$11)</x:f>
      </x:c>
      <x:c r="D542" s="88" t="str">
        <x:f>IF(C542="","",I522)</x:f>
      </x:c>
      <x:c r="E542" s="88" t="str">
        <x:f>IF(C542="","",ROUND(D542*$P$11/12,2))</x:f>
      </x:c>
      <x:c r="F542" s="88" t="str">
        <x:f>IF(C542="","",MIN(D542+E542,$Q$11))</x:f>
      </x:c>
      <x:c r="G542" s="88" t="str">
        <x:f>IF(C542="","",MIN(MAX(0,D542+E542-F542),SUMIFS(SONDERZAHLUNGEN!$E$9:$E$128,SONDERZAHLUNGEN!$B$9:$B$128,C542,SONDERZAHLUNGEN!$C$9:$C$128,A542,SONDERZAHLUNGEN!$H$9:$H$128,"OK",SONDERZAHLUNGEN!$F$9:$F$128,"Ja")))</x:f>
      </x:c>
      <x:c r="H542" s="88" t="str">
        <x:f>IF(C542="","",MIN(MAX(0,D542+E542-F542-G542),MAX(0,IF(MONATSBUDGET!$C$34="",0,MONATSBUDGET!$C$34)-SUM(F540:F559)-SUM(H540:H541))))</x:f>
      </x:c>
      <x:c r="I542" s="88" t="str">
        <x:f>IF(C542="","",MAX(0,ROUND(D542+E542-F542-G542-H542,2)))</x:f>
      </x:c>
      <x:c r="J542" s="88" t="str">
        <x:f>IF(C542="","",F542+G542+H542)</x:f>
      </x:c>
      <x:c r="K542" s="88" t="str">
        <x:f>IF(C542="","",MAX(0,SUMIFS(SONDERZAHLUNGEN!$E$9:$E$128,SONDERZAHLUNGEN!$B$9:$B$128,C542,SONDERZAHLUNGEN!$C$9:$C$128,A542,SONDERZAHLUNGEN!$H$9:$H$128,"OK",SONDERZAHLUNGEN!$F$9:$F$128,"Ja")-G542))</x:f>
      </x:c>
    </x:row>
    <x:row r="543" ht="19" customHeight="1">
      <x:c r="A543" s="90" t="n">
        <x:f>MONATSBUDGET!$A$34</x:f>
        <x:v>47027</x:v>
      </x:c>
      <x:c r="B543" t="n">
        <x:f>4</x:f>
        <x:v>4</x:v>
      </x:c>
      <x:c r="C543" t="str">
        <x:f>IF($N$12="","",$N$12)</x:f>
      </x:c>
      <x:c r="D543" s="88" t="str">
        <x:f>IF(C543="","",I523)</x:f>
      </x:c>
      <x:c r="E543" s="88" t="str">
        <x:f>IF(C543="","",ROUND(D543*$P$12/12,2))</x:f>
      </x:c>
      <x:c r="F543" s="88" t="str">
        <x:f>IF(C543="","",MIN(D543+E543,$Q$12))</x:f>
      </x:c>
      <x:c r="G543" s="88" t="str">
        <x:f>IF(C543="","",MIN(MAX(0,D543+E543-F543),SUMIFS(SONDERZAHLUNGEN!$E$9:$E$128,SONDERZAHLUNGEN!$B$9:$B$128,C543,SONDERZAHLUNGEN!$C$9:$C$128,A543,SONDERZAHLUNGEN!$H$9:$H$128,"OK",SONDERZAHLUNGEN!$F$9:$F$128,"Ja")))</x:f>
      </x:c>
      <x:c r="H543" s="88" t="str">
        <x:f>IF(C543="","",MIN(MAX(0,D543+E543-F543-G543),MAX(0,IF(MONATSBUDGET!$C$34="",0,MONATSBUDGET!$C$34)-SUM(F540:F559)-SUM(H540:H542))))</x:f>
      </x:c>
      <x:c r="I543" s="88" t="str">
        <x:f>IF(C543="","",MAX(0,ROUND(D543+E543-F543-G543-H543,2)))</x:f>
      </x:c>
      <x:c r="J543" s="88" t="str">
        <x:f>IF(C543="","",F543+G543+H543)</x:f>
      </x:c>
      <x:c r="K543" s="88" t="str">
        <x:f>IF(C543="","",MAX(0,SUMIFS(SONDERZAHLUNGEN!$E$9:$E$128,SONDERZAHLUNGEN!$B$9:$B$128,C543,SONDERZAHLUNGEN!$C$9:$C$128,A543,SONDERZAHLUNGEN!$H$9:$H$128,"OK",SONDERZAHLUNGEN!$F$9:$F$128,"Ja")-G543))</x:f>
      </x:c>
    </x:row>
    <x:row r="544" ht="19" customHeight="1">
      <x:c r="A544" s="90" t="n">
        <x:f>MONATSBUDGET!$A$34</x:f>
        <x:v>47027</x:v>
      </x:c>
      <x:c r="B544" t="n">
        <x:f>5</x:f>
        <x:v>5</x:v>
      </x:c>
      <x:c r="C544" t="str">
        <x:f>IF($N$13="","",$N$13)</x:f>
      </x:c>
      <x:c r="D544" s="88" t="str">
        <x:f>IF(C544="","",I524)</x:f>
      </x:c>
      <x:c r="E544" s="88" t="str">
        <x:f>IF(C544="","",ROUND(D544*$P$13/12,2))</x:f>
      </x:c>
      <x:c r="F544" s="88" t="str">
        <x:f>IF(C544="","",MIN(D544+E544,$Q$13))</x:f>
      </x:c>
      <x:c r="G544" s="88" t="str">
        <x:f>IF(C544="","",MIN(MAX(0,D544+E544-F544),SUMIFS(SONDERZAHLUNGEN!$E$9:$E$128,SONDERZAHLUNGEN!$B$9:$B$128,C544,SONDERZAHLUNGEN!$C$9:$C$128,A544,SONDERZAHLUNGEN!$H$9:$H$128,"OK",SONDERZAHLUNGEN!$F$9:$F$128,"Ja")))</x:f>
      </x:c>
      <x:c r="H544" s="88" t="str">
        <x:f>IF(C544="","",MIN(MAX(0,D544+E544-F544-G544),MAX(0,IF(MONATSBUDGET!$C$34="",0,MONATSBUDGET!$C$34)-SUM(F540:F559)-SUM(H540:H543))))</x:f>
      </x:c>
      <x:c r="I544" s="88" t="str">
        <x:f>IF(C544="","",MAX(0,ROUND(D544+E544-F544-G544-H544,2)))</x:f>
      </x:c>
      <x:c r="J544" s="88" t="str">
        <x:f>IF(C544="","",F544+G544+H544)</x:f>
      </x:c>
      <x:c r="K544" s="88" t="str">
        <x:f>IF(C544="","",MAX(0,SUMIFS(SONDERZAHLUNGEN!$E$9:$E$128,SONDERZAHLUNGEN!$B$9:$B$128,C544,SONDERZAHLUNGEN!$C$9:$C$128,A544,SONDERZAHLUNGEN!$H$9:$H$128,"OK",SONDERZAHLUNGEN!$F$9:$F$128,"Ja")-G544))</x:f>
      </x:c>
    </x:row>
    <x:row r="545" ht="19" customHeight="1">
      <x:c r="A545" s="90" t="n">
        <x:f>MONATSBUDGET!$A$34</x:f>
        <x:v>47027</x:v>
      </x:c>
      <x:c r="B545" t="n">
        <x:f>6</x:f>
        <x:v>6</x:v>
      </x:c>
      <x:c r="C545" t="str">
        <x:f>IF($N$14="","",$N$14)</x:f>
      </x:c>
      <x:c r="D545" s="88" t="str">
        <x:f>IF(C545="","",I525)</x:f>
      </x:c>
      <x:c r="E545" s="88" t="str">
        <x:f>IF(C545="","",ROUND(D545*$P$14/12,2))</x:f>
      </x:c>
      <x:c r="F545" s="88" t="str">
        <x:f>IF(C545="","",MIN(D545+E545,$Q$14))</x:f>
      </x:c>
      <x:c r="G545" s="88" t="str">
        <x:f>IF(C545="","",MIN(MAX(0,D545+E545-F545),SUMIFS(SONDERZAHLUNGEN!$E$9:$E$128,SONDERZAHLUNGEN!$B$9:$B$128,C545,SONDERZAHLUNGEN!$C$9:$C$128,A545,SONDERZAHLUNGEN!$H$9:$H$128,"OK",SONDERZAHLUNGEN!$F$9:$F$128,"Ja")))</x:f>
      </x:c>
      <x:c r="H545" s="88" t="str">
        <x:f>IF(C545="","",MIN(MAX(0,D545+E545-F545-G545),MAX(0,IF(MONATSBUDGET!$C$34="",0,MONATSBUDGET!$C$34)-SUM(F540:F559)-SUM(H540:H544))))</x:f>
      </x:c>
      <x:c r="I545" s="88" t="str">
        <x:f>IF(C545="","",MAX(0,ROUND(D545+E545-F545-G545-H545,2)))</x:f>
      </x:c>
      <x:c r="J545" s="88" t="str">
        <x:f>IF(C545="","",F545+G545+H545)</x:f>
      </x:c>
      <x:c r="K545" s="88" t="str">
        <x:f>IF(C545="","",MAX(0,SUMIFS(SONDERZAHLUNGEN!$E$9:$E$128,SONDERZAHLUNGEN!$B$9:$B$128,C545,SONDERZAHLUNGEN!$C$9:$C$128,A545,SONDERZAHLUNGEN!$H$9:$H$128,"OK",SONDERZAHLUNGEN!$F$9:$F$128,"Ja")-G545))</x:f>
      </x:c>
    </x:row>
    <x:row r="546" ht="19" customHeight="1">
      <x:c r="A546" s="90" t="n">
        <x:f>MONATSBUDGET!$A$34</x:f>
        <x:v>47027</x:v>
      </x:c>
      <x:c r="B546" t="n">
        <x:f>7</x:f>
        <x:v>7</x:v>
      </x:c>
      <x:c r="C546" t="str">
        <x:f>IF($N$15="","",$N$15)</x:f>
      </x:c>
      <x:c r="D546" s="88" t="str">
        <x:f>IF(C546="","",I526)</x:f>
      </x:c>
      <x:c r="E546" s="88" t="str">
        <x:f>IF(C546="","",ROUND(D546*$P$15/12,2))</x:f>
      </x:c>
      <x:c r="F546" s="88" t="str">
        <x:f>IF(C546="","",MIN(D546+E546,$Q$15))</x:f>
      </x:c>
      <x:c r="G546" s="88" t="str">
        <x:f>IF(C546="","",MIN(MAX(0,D546+E546-F546),SUMIFS(SONDERZAHLUNGEN!$E$9:$E$128,SONDERZAHLUNGEN!$B$9:$B$128,C546,SONDERZAHLUNGEN!$C$9:$C$128,A546,SONDERZAHLUNGEN!$H$9:$H$128,"OK",SONDERZAHLUNGEN!$F$9:$F$128,"Ja")))</x:f>
      </x:c>
      <x:c r="H546" s="88" t="str">
        <x:f>IF(C546="","",MIN(MAX(0,D546+E546-F546-G546),MAX(0,IF(MONATSBUDGET!$C$34="",0,MONATSBUDGET!$C$34)-SUM(F540:F559)-SUM(H540:H545))))</x:f>
      </x:c>
      <x:c r="I546" s="88" t="str">
        <x:f>IF(C546="","",MAX(0,ROUND(D546+E546-F546-G546-H546,2)))</x:f>
      </x:c>
      <x:c r="J546" s="88" t="str">
        <x:f>IF(C546="","",F546+G546+H546)</x:f>
      </x:c>
      <x:c r="K546" s="88" t="str">
        <x:f>IF(C546="","",MAX(0,SUMIFS(SONDERZAHLUNGEN!$E$9:$E$128,SONDERZAHLUNGEN!$B$9:$B$128,C546,SONDERZAHLUNGEN!$C$9:$C$128,A546,SONDERZAHLUNGEN!$H$9:$H$128,"OK",SONDERZAHLUNGEN!$F$9:$F$128,"Ja")-G546))</x:f>
      </x:c>
    </x:row>
    <x:row r="547" ht="19" customHeight="1">
      <x:c r="A547" s="90" t="n">
        <x:f>MONATSBUDGET!$A$34</x:f>
        <x:v>47027</x:v>
      </x:c>
      <x:c r="B547" t="n">
        <x:f>8</x:f>
        <x:v>8</x:v>
      </x:c>
      <x:c r="C547" t="str">
        <x:f>IF($N$16="","",$N$16)</x:f>
      </x:c>
      <x:c r="D547" s="88" t="str">
        <x:f>IF(C547="","",I527)</x:f>
      </x:c>
      <x:c r="E547" s="88" t="str">
        <x:f>IF(C547="","",ROUND(D547*$P$16/12,2))</x:f>
      </x:c>
      <x:c r="F547" s="88" t="str">
        <x:f>IF(C547="","",MIN(D547+E547,$Q$16))</x:f>
      </x:c>
      <x:c r="G547" s="88" t="str">
        <x:f>IF(C547="","",MIN(MAX(0,D547+E547-F547),SUMIFS(SONDERZAHLUNGEN!$E$9:$E$128,SONDERZAHLUNGEN!$B$9:$B$128,C547,SONDERZAHLUNGEN!$C$9:$C$128,A547,SONDERZAHLUNGEN!$H$9:$H$128,"OK",SONDERZAHLUNGEN!$F$9:$F$128,"Ja")))</x:f>
      </x:c>
      <x:c r="H547" s="88" t="str">
        <x:f>IF(C547="","",MIN(MAX(0,D547+E547-F547-G547),MAX(0,IF(MONATSBUDGET!$C$34="",0,MONATSBUDGET!$C$34)-SUM(F540:F559)-SUM(H540:H546))))</x:f>
      </x:c>
      <x:c r="I547" s="88" t="str">
        <x:f>IF(C547="","",MAX(0,ROUND(D547+E547-F547-G547-H547,2)))</x:f>
      </x:c>
      <x:c r="J547" s="88" t="str">
        <x:f>IF(C547="","",F547+G547+H547)</x:f>
      </x:c>
      <x:c r="K547" s="88" t="str">
        <x:f>IF(C547="","",MAX(0,SUMIFS(SONDERZAHLUNGEN!$E$9:$E$128,SONDERZAHLUNGEN!$B$9:$B$128,C547,SONDERZAHLUNGEN!$C$9:$C$128,A547,SONDERZAHLUNGEN!$H$9:$H$128,"OK",SONDERZAHLUNGEN!$F$9:$F$128,"Ja")-G547))</x:f>
      </x:c>
    </x:row>
    <x:row r="548" ht="19" customHeight="1">
      <x:c r="A548" s="90" t="n">
        <x:f>MONATSBUDGET!$A$34</x:f>
        <x:v>47027</x:v>
      </x:c>
      <x:c r="B548" t="n">
        <x:f>9</x:f>
        <x:v>9</x:v>
      </x:c>
      <x:c r="C548" t="str">
        <x:f>IF($N$17="","",$N$17)</x:f>
      </x:c>
      <x:c r="D548" s="88" t="str">
        <x:f>IF(C548="","",I528)</x:f>
      </x:c>
      <x:c r="E548" s="88" t="str">
        <x:f>IF(C548="","",ROUND(D548*$P$17/12,2))</x:f>
      </x:c>
      <x:c r="F548" s="88" t="str">
        <x:f>IF(C548="","",MIN(D548+E548,$Q$17))</x:f>
      </x:c>
      <x:c r="G548" s="88" t="str">
        <x:f>IF(C548="","",MIN(MAX(0,D548+E548-F548),SUMIFS(SONDERZAHLUNGEN!$E$9:$E$128,SONDERZAHLUNGEN!$B$9:$B$128,C548,SONDERZAHLUNGEN!$C$9:$C$128,A548,SONDERZAHLUNGEN!$H$9:$H$128,"OK",SONDERZAHLUNGEN!$F$9:$F$128,"Ja")))</x:f>
      </x:c>
      <x:c r="H548" s="88" t="str">
        <x:f>IF(C548="","",MIN(MAX(0,D548+E548-F548-G548),MAX(0,IF(MONATSBUDGET!$C$34="",0,MONATSBUDGET!$C$34)-SUM(F540:F559)-SUM(H540:H547))))</x:f>
      </x:c>
      <x:c r="I548" s="88" t="str">
        <x:f>IF(C548="","",MAX(0,ROUND(D548+E548-F548-G548-H548,2)))</x:f>
      </x:c>
      <x:c r="J548" s="88" t="str">
        <x:f>IF(C548="","",F548+G548+H548)</x:f>
      </x:c>
      <x:c r="K548" s="88" t="str">
        <x:f>IF(C548="","",MAX(0,SUMIFS(SONDERZAHLUNGEN!$E$9:$E$128,SONDERZAHLUNGEN!$B$9:$B$128,C548,SONDERZAHLUNGEN!$C$9:$C$128,A548,SONDERZAHLUNGEN!$H$9:$H$128,"OK",SONDERZAHLUNGEN!$F$9:$F$128,"Ja")-G548))</x:f>
      </x:c>
    </x:row>
    <x:row r="549" ht="19" customHeight="1">
      <x:c r="A549" s="90" t="n">
        <x:f>MONATSBUDGET!$A$34</x:f>
        <x:v>47027</x:v>
      </x:c>
      <x:c r="B549" t="n">
        <x:f>10</x:f>
        <x:v>10</x:v>
      </x:c>
      <x:c r="C549" t="str">
        <x:f>IF($N$18="","",$N$18)</x:f>
      </x:c>
      <x:c r="D549" s="88" t="str">
        <x:f>IF(C549="","",I529)</x:f>
      </x:c>
      <x:c r="E549" s="88" t="str">
        <x:f>IF(C549="","",ROUND(D549*$P$18/12,2))</x:f>
      </x:c>
      <x:c r="F549" s="88" t="str">
        <x:f>IF(C549="","",MIN(D549+E549,$Q$18))</x:f>
      </x:c>
      <x:c r="G549" s="88" t="str">
        <x:f>IF(C549="","",MIN(MAX(0,D549+E549-F549),SUMIFS(SONDERZAHLUNGEN!$E$9:$E$128,SONDERZAHLUNGEN!$B$9:$B$128,C549,SONDERZAHLUNGEN!$C$9:$C$128,A549,SONDERZAHLUNGEN!$H$9:$H$128,"OK",SONDERZAHLUNGEN!$F$9:$F$128,"Ja")))</x:f>
      </x:c>
      <x:c r="H549" s="88" t="str">
        <x:f>IF(C549="","",MIN(MAX(0,D549+E549-F549-G549),MAX(0,IF(MONATSBUDGET!$C$34="",0,MONATSBUDGET!$C$34)-SUM(F540:F559)-SUM(H540:H548))))</x:f>
      </x:c>
      <x:c r="I549" s="88" t="str">
        <x:f>IF(C549="","",MAX(0,ROUND(D549+E549-F549-G549-H549,2)))</x:f>
      </x:c>
      <x:c r="J549" s="88" t="str">
        <x:f>IF(C549="","",F549+G549+H549)</x:f>
      </x:c>
      <x:c r="K549" s="88" t="str">
        <x:f>IF(C549="","",MAX(0,SUMIFS(SONDERZAHLUNGEN!$E$9:$E$128,SONDERZAHLUNGEN!$B$9:$B$128,C549,SONDERZAHLUNGEN!$C$9:$C$128,A549,SONDERZAHLUNGEN!$H$9:$H$128,"OK",SONDERZAHLUNGEN!$F$9:$F$128,"Ja")-G549))</x:f>
      </x:c>
    </x:row>
    <x:row r="550" ht="19" customHeight="1">
      <x:c r="A550" s="90" t="n">
        <x:f>MONATSBUDGET!$A$34</x:f>
        <x:v>47027</x:v>
      </x:c>
      <x:c r="B550" t="n">
        <x:f>11</x:f>
        <x:v>11</x:v>
      </x:c>
      <x:c r="C550" t="str">
        <x:f>IF($N$19="","",$N$19)</x:f>
      </x:c>
      <x:c r="D550" s="88" t="str">
        <x:f>IF(C550="","",I530)</x:f>
      </x:c>
      <x:c r="E550" s="88" t="str">
        <x:f>IF(C550="","",ROUND(D550*$P$19/12,2))</x:f>
      </x:c>
      <x:c r="F550" s="88" t="str">
        <x:f>IF(C550="","",MIN(D550+E550,$Q$19))</x:f>
      </x:c>
      <x:c r="G550" s="88" t="str">
        <x:f>IF(C550="","",MIN(MAX(0,D550+E550-F550),SUMIFS(SONDERZAHLUNGEN!$E$9:$E$128,SONDERZAHLUNGEN!$B$9:$B$128,C550,SONDERZAHLUNGEN!$C$9:$C$128,A550,SONDERZAHLUNGEN!$H$9:$H$128,"OK",SONDERZAHLUNGEN!$F$9:$F$128,"Ja")))</x:f>
      </x:c>
      <x:c r="H550" s="88" t="str">
        <x:f>IF(C550="","",MIN(MAX(0,D550+E550-F550-G550),MAX(0,IF(MONATSBUDGET!$C$34="",0,MONATSBUDGET!$C$34)-SUM(F540:F559)-SUM(H540:H549))))</x:f>
      </x:c>
      <x:c r="I550" s="88" t="str">
        <x:f>IF(C550="","",MAX(0,ROUND(D550+E550-F550-G550-H550,2)))</x:f>
      </x:c>
      <x:c r="J550" s="88" t="str">
        <x:f>IF(C550="","",F550+G550+H550)</x:f>
      </x:c>
      <x:c r="K550" s="88" t="str">
        <x:f>IF(C550="","",MAX(0,SUMIFS(SONDERZAHLUNGEN!$E$9:$E$128,SONDERZAHLUNGEN!$B$9:$B$128,C550,SONDERZAHLUNGEN!$C$9:$C$128,A550,SONDERZAHLUNGEN!$H$9:$H$128,"OK",SONDERZAHLUNGEN!$F$9:$F$128,"Ja")-G550))</x:f>
      </x:c>
    </x:row>
    <x:row r="551" ht="19" customHeight="1">
      <x:c r="A551" s="90" t="n">
        <x:f>MONATSBUDGET!$A$34</x:f>
        <x:v>47027</x:v>
      </x:c>
      <x:c r="B551" t="n">
        <x:f>12</x:f>
        <x:v>12</x:v>
      </x:c>
      <x:c r="C551" t="str">
        <x:f>IF($N$20="","",$N$20)</x:f>
      </x:c>
      <x:c r="D551" s="88" t="str">
        <x:f>IF(C551="","",I531)</x:f>
      </x:c>
      <x:c r="E551" s="88" t="str">
        <x:f>IF(C551="","",ROUND(D551*$P$20/12,2))</x:f>
      </x:c>
      <x:c r="F551" s="88" t="str">
        <x:f>IF(C551="","",MIN(D551+E551,$Q$20))</x:f>
      </x:c>
      <x:c r="G551" s="88" t="str">
        <x:f>IF(C551="","",MIN(MAX(0,D551+E551-F551),SUMIFS(SONDERZAHLUNGEN!$E$9:$E$128,SONDERZAHLUNGEN!$B$9:$B$128,C551,SONDERZAHLUNGEN!$C$9:$C$128,A551,SONDERZAHLUNGEN!$H$9:$H$128,"OK",SONDERZAHLUNGEN!$F$9:$F$128,"Ja")))</x:f>
      </x:c>
      <x:c r="H551" s="88" t="str">
        <x:f>IF(C551="","",MIN(MAX(0,D551+E551-F551-G551),MAX(0,IF(MONATSBUDGET!$C$34="",0,MONATSBUDGET!$C$34)-SUM(F540:F559)-SUM(H540:H550))))</x:f>
      </x:c>
      <x:c r="I551" s="88" t="str">
        <x:f>IF(C551="","",MAX(0,ROUND(D551+E551-F551-G551-H551,2)))</x:f>
      </x:c>
      <x:c r="J551" s="88" t="str">
        <x:f>IF(C551="","",F551+G551+H551)</x:f>
      </x:c>
      <x:c r="K551" s="88" t="str">
        <x:f>IF(C551="","",MAX(0,SUMIFS(SONDERZAHLUNGEN!$E$9:$E$128,SONDERZAHLUNGEN!$B$9:$B$128,C551,SONDERZAHLUNGEN!$C$9:$C$128,A551,SONDERZAHLUNGEN!$H$9:$H$128,"OK",SONDERZAHLUNGEN!$F$9:$F$128,"Ja")-G551))</x:f>
      </x:c>
    </x:row>
    <x:row r="552" ht="19" customHeight="1">
      <x:c r="A552" s="90" t="n">
        <x:f>MONATSBUDGET!$A$34</x:f>
        <x:v>47027</x:v>
      </x:c>
      <x:c r="B552" t="n">
        <x:f>13</x:f>
        <x:v>13</x:v>
      </x:c>
      <x:c r="C552" t="str">
        <x:f>IF($N$21="","",$N$21)</x:f>
      </x:c>
      <x:c r="D552" s="88" t="str">
        <x:f>IF(C552="","",I532)</x:f>
      </x:c>
      <x:c r="E552" s="88" t="str">
        <x:f>IF(C552="","",ROUND(D552*$P$21/12,2))</x:f>
      </x:c>
      <x:c r="F552" s="88" t="str">
        <x:f>IF(C552="","",MIN(D552+E552,$Q$21))</x:f>
      </x:c>
      <x:c r="G552" s="88" t="str">
        <x:f>IF(C552="","",MIN(MAX(0,D552+E552-F552),SUMIFS(SONDERZAHLUNGEN!$E$9:$E$128,SONDERZAHLUNGEN!$B$9:$B$128,C552,SONDERZAHLUNGEN!$C$9:$C$128,A552,SONDERZAHLUNGEN!$H$9:$H$128,"OK",SONDERZAHLUNGEN!$F$9:$F$128,"Ja")))</x:f>
      </x:c>
      <x:c r="H552" s="88" t="str">
        <x:f>IF(C552="","",MIN(MAX(0,D552+E552-F552-G552),MAX(0,IF(MONATSBUDGET!$C$34="",0,MONATSBUDGET!$C$34)-SUM(F540:F559)-SUM(H540:H551))))</x:f>
      </x:c>
      <x:c r="I552" s="88" t="str">
        <x:f>IF(C552="","",MAX(0,ROUND(D552+E552-F552-G552-H552,2)))</x:f>
      </x:c>
      <x:c r="J552" s="88" t="str">
        <x:f>IF(C552="","",F552+G552+H552)</x:f>
      </x:c>
      <x:c r="K552" s="88" t="str">
        <x:f>IF(C552="","",MAX(0,SUMIFS(SONDERZAHLUNGEN!$E$9:$E$128,SONDERZAHLUNGEN!$B$9:$B$128,C552,SONDERZAHLUNGEN!$C$9:$C$128,A552,SONDERZAHLUNGEN!$H$9:$H$128,"OK",SONDERZAHLUNGEN!$F$9:$F$128,"Ja")-G552))</x:f>
      </x:c>
    </x:row>
    <x:row r="553" ht="19" customHeight="1">
      <x:c r="A553" s="90" t="n">
        <x:f>MONATSBUDGET!$A$34</x:f>
        <x:v>47027</x:v>
      </x:c>
      <x:c r="B553" t="n">
        <x:f>14</x:f>
        <x:v>14</x:v>
      </x:c>
      <x:c r="C553" t="str">
        <x:f>IF($N$22="","",$N$22)</x:f>
      </x:c>
      <x:c r="D553" s="88" t="str">
        <x:f>IF(C553="","",I533)</x:f>
      </x:c>
      <x:c r="E553" s="88" t="str">
        <x:f>IF(C553="","",ROUND(D553*$P$22/12,2))</x:f>
      </x:c>
      <x:c r="F553" s="88" t="str">
        <x:f>IF(C553="","",MIN(D553+E553,$Q$22))</x:f>
      </x:c>
      <x:c r="G553" s="88" t="str">
        <x:f>IF(C553="","",MIN(MAX(0,D553+E553-F553),SUMIFS(SONDERZAHLUNGEN!$E$9:$E$128,SONDERZAHLUNGEN!$B$9:$B$128,C553,SONDERZAHLUNGEN!$C$9:$C$128,A553,SONDERZAHLUNGEN!$H$9:$H$128,"OK",SONDERZAHLUNGEN!$F$9:$F$128,"Ja")))</x:f>
      </x:c>
      <x:c r="H553" s="88" t="str">
        <x:f>IF(C553="","",MIN(MAX(0,D553+E553-F553-G553),MAX(0,IF(MONATSBUDGET!$C$34="",0,MONATSBUDGET!$C$34)-SUM(F540:F559)-SUM(H540:H552))))</x:f>
      </x:c>
      <x:c r="I553" s="88" t="str">
        <x:f>IF(C553="","",MAX(0,ROUND(D553+E553-F553-G553-H553,2)))</x:f>
      </x:c>
      <x:c r="J553" s="88" t="str">
        <x:f>IF(C553="","",F553+G553+H553)</x:f>
      </x:c>
      <x:c r="K553" s="88" t="str">
        <x:f>IF(C553="","",MAX(0,SUMIFS(SONDERZAHLUNGEN!$E$9:$E$128,SONDERZAHLUNGEN!$B$9:$B$128,C553,SONDERZAHLUNGEN!$C$9:$C$128,A553,SONDERZAHLUNGEN!$H$9:$H$128,"OK",SONDERZAHLUNGEN!$F$9:$F$128,"Ja")-G553))</x:f>
      </x:c>
    </x:row>
    <x:row r="554" ht="19" customHeight="1">
      <x:c r="A554" s="90" t="n">
        <x:f>MONATSBUDGET!$A$34</x:f>
        <x:v>47027</x:v>
      </x:c>
      <x:c r="B554" t="n">
        <x:f>15</x:f>
        <x:v>15</x:v>
      </x:c>
      <x:c r="C554" t="str">
        <x:f>IF($N$23="","",$N$23)</x:f>
      </x:c>
      <x:c r="D554" s="88" t="str">
        <x:f>IF(C554="","",I534)</x:f>
      </x:c>
      <x:c r="E554" s="88" t="str">
        <x:f>IF(C554="","",ROUND(D554*$P$23/12,2))</x:f>
      </x:c>
      <x:c r="F554" s="88" t="str">
        <x:f>IF(C554="","",MIN(D554+E554,$Q$23))</x:f>
      </x:c>
      <x:c r="G554" s="88" t="str">
        <x:f>IF(C554="","",MIN(MAX(0,D554+E554-F554),SUMIFS(SONDERZAHLUNGEN!$E$9:$E$128,SONDERZAHLUNGEN!$B$9:$B$128,C554,SONDERZAHLUNGEN!$C$9:$C$128,A554,SONDERZAHLUNGEN!$H$9:$H$128,"OK",SONDERZAHLUNGEN!$F$9:$F$128,"Ja")))</x:f>
      </x:c>
      <x:c r="H554" s="88" t="str">
        <x:f>IF(C554="","",MIN(MAX(0,D554+E554-F554-G554),MAX(0,IF(MONATSBUDGET!$C$34="",0,MONATSBUDGET!$C$34)-SUM(F540:F559)-SUM(H540:H553))))</x:f>
      </x:c>
      <x:c r="I554" s="88" t="str">
        <x:f>IF(C554="","",MAX(0,ROUND(D554+E554-F554-G554-H554,2)))</x:f>
      </x:c>
      <x:c r="J554" s="88" t="str">
        <x:f>IF(C554="","",F554+G554+H554)</x:f>
      </x:c>
      <x:c r="K554" s="88" t="str">
        <x:f>IF(C554="","",MAX(0,SUMIFS(SONDERZAHLUNGEN!$E$9:$E$128,SONDERZAHLUNGEN!$B$9:$B$128,C554,SONDERZAHLUNGEN!$C$9:$C$128,A554,SONDERZAHLUNGEN!$H$9:$H$128,"OK",SONDERZAHLUNGEN!$F$9:$F$128,"Ja")-G554))</x:f>
      </x:c>
    </x:row>
    <x:row r="555" ht="19" customHeight="1">
      <x:c r="A555" s="90" t="n">
        <x:f>MONATSBUDGET!$A$34</x:f>
        <x:v>47027</x:v>
      </x:c>
      <x:c r="B555" t="n">
        <x:f>16</x:f>
        <x:v>16</x:v>
      </x:c>
      <x:c r="C555" t="str">
        <x:f>IF($N$24="","",$N$24)</x:f>
      </x:c>
      <x:c r="D555" s="88" t="str">
        <x:f>IF(C555="","",I535)</x:f>
      </x:c>
      <x:c r="E555" s="88" t="str">
        <x:f>IF(C555="","",ROUND(D555*$P$24/12,2))</x:f>
      </x:c>
      <x:c r="F555" s="88" t="str">
        <x:f>IF(C555="","",MIN(D555+E555,$Q$24))</x:f>
      </x:c>
      <x:c r="G555" s="88" t="str">
        <x:f>IF(C555="","",MIN(MAX(0,D555+E555-F555),SUMIFS(SONDERZAHLUNGEN!$E$9:$E$128,SONDERZAHLUNGEN!$B$9:$B$128,C555,SONDERZAHLUNGEN!$C$9:$C$128,A555,SONDERZAHLUNGEN!$H$9:$H$128,"OK",SONDERZAHLUNGEN!$F$9:$F$128,"Ja")))</x:f>
      </x:c>
      <x:c r="H555" s="88" t="str">
        <x:f>IF(C555="","",MIN(MAX(0,D555+E555-F555-G555),MAX(0,IF(MONATSBUDGET!$C$34="",0,MONATSBUDGET!$C$34)-SUM(F540:F559)-SUM(H540:H554))))</x:f>
      </x:c>
      <x:c r="I555" s="88" t="str">
        <x:f>IF(C555="","",MAX(0,ROUND(D555+E555-F555-G555-H555,2)))</x:f>
      </x:c>
      <x:c r="J555" s="88" t="str">
        <x:f>IF(C555="","",F555+G555+H555)</x:f>
      </x:c>
      <x:c r="K555" s="88" t="str">
        <x:f>IF(C555="","",MAX(0,SUMIFS(SONDERZAHLUNGEN!$E$9:$E$128,SONDERZAHLUNGEN!$B$9:$B$128,C555,SONDERZAHLUNGEN!$C$9:$C$128,A555,SONDERZAHLUNGEN!$H$9:$H$128,"OK",SONDERZAHLUNGEN!$F$9:$F$128,"Ja")-G555))</x:f>
      </x:c>
    </x:row>
    <x:row r="556" ht="19" customHeight="1">
      <x:c r="A556" s="90" t="n">
        <x:f>MONATSBUDGET!$A$34</x:f>
        <x:v>47027</x:v>
      </x:c>
      <x:c r="B556" t="n">
        <x:f>17</x:f>
        <x:v>17</x:v>
      </x:c>
      <x:c r="C556" t="str">
        <x:f>IF($N$25="","",$N$25)</x:f>
      </x:c>
      <x:c r="D556" s="88" t="str">
        <x:f>IF(C556="","",I536)</x:f>
      </x:c>
      <x:c r="E556" s="88" t="str">
        <x:f>IF(C556="","",ROUND(D556*$P$25/12,2))</x:f>
      </x:c>
      <x:c r="F556" s="88" t="str">
        <x:f>IF(C556="","",MIN(D556+E556,$Q$25))</x:f>
      </x:c>
      <x:c r="G556" s="88" t="str">
        <x:f>IF(C556="","",MIN(MAX(0,D556+E556-F556),SUMIFS(SONDERZAHLUNGEN!$E$9:$E$128,SONDERZAHLUNGEN!$B$9:$B$128,C556,SONDERZAHLUNGEN!$C$9:$C$128,A556,SONDERZAHLUNGEN!$H$9:$H$128,"OK",SONDERZAHLUNGEN!$F$9:$F$128,"Ja")))</x:f>
      </x:c>
      <x:c r="H556" s="88" t="str">
        <x:f>IF(C556="","",MIN(MAX(0,D556+E556-F556-G556),MAX(0,IF(MONATSBUDGET!$C$34="",0,MONATSBUDGET!$C$34)-SUM(F540:F559)-SUM(H540:H555))))</x:f>
      </x:c>
      <x:c r="I556" s="88" t="str">
        <x:f>IF(C556="","",MAX(0,ROUND(D556+E556-F556-G556-H556,2)))</x:f>
      </x:c>
      <x:c r="J556" s="88" t="str">
        <x:f>IF(C556="","",F556+G556+H556)</x:f>
      </x:c>
      <x:c r="K556" s="88" t="str">
        <x:f>IF(C556="","",MAX(0,SUMIFS(SONDERZAHLUNGEN!$E$9:$E$128,SONDERZAHLUNGEN!$B$9:$B$128,C556,SONDERZAHLUNGEN!$C$9:$C$128,A556,SONDERZAHLUNGEN!$H$9:$H$128,"OK",SONDERZAHLUNGEN!$F$9:$F$128,"Ja")-G556))</x:f>
      </x:c>
    </x:row>
    <x:row r="557" ht="19" customHeight="1">
      <x:c r="A557" s="90" t="n">
        <x:f>MONATSBUDGET!$A$34</x:f>
        <x:v>47027</x:v>
      </x:c>
      <x:c r="B557" t="n">
        <x:f>18</x:f>
        <x:v>18</x:v>
      </x:c>
      <x:c r="C557" t="str">
        <x:f>IF($N$26="","",$N$26)</x:f>
      </x:c>
      <x:c r="D557" s="88" t="str">
        <x:f>IF(C557="","",I537)</x:f>
      </x:c>
      <x:c r="E557" s="88" t="str">
        <x:f>IF(C557="","",ROUND(D557*$P$26/12,2))</x:f>
      </x:c>
      <x:c r="F557" s="88" t="str">
        <x:f>IF(C557="","",MIN(D557+E557,$Q$26))</x:f>
      </x:c>
      <x:c r="G557" s="88" t="str">
        <x:f>IF(C557="","",MIN(MAX(0,D557+E557-F557),SUMIFS(SONDERZAHLUNGEN!$E$9:$E$128,SONDERZAHLUNGEN!$B$9:$B$128,C557,SONDERZAHLUNGEN!$C$9:$C$128,A557,SONDERZAHLUNGEN!$H$9:$H$128,"OK",SONDERZAHLUNGEN!$F$9:$F$128,"Ja")))</x:f>
      </x:c>
      <x:c r="H557" s="88" t="str">
        <x:f>IF(C557="","",MIN(MAX(0,D557+E557-F557-G557),MAX(0,IF(MONATSBUDGET!$C$34="",0,MONATSBUDGET!$C$34)-SUM(F540:F559)-SUM(H540:H556))))</x:f>
      </x:c>
      <x:c r="I557" s="88" t="str">
        <x:f>IF(C557="","",MAX(0,ROUND(D557+E557-F557-G557-H557,2)))</x:f>
      </x:c>
      <x:c r="J557" s="88" t="str">
        <x:f>IF(C557="","",F557+G557+H557)</x:f>
      </x:c>
      <x:c r="K557" s="88" t="str">
        <x:f>IF(C557="","",MAX(0,SUMIFS(SONDERZAHLUNGEN!$E$9:$E$128,SONDERZAHLUNGEN!$B$9:$B$128,C557,SONDERZAHLUNGEN!$C$9:$C$128,A557,SONDERZAHLUNGEN!$H$9:$H$128,"OK",SONDERZAHLUNGEN!$F$9:$F$128,"Ja")-G557))</x:f>
      </x:c>
    </x:row>
    <x:row r="558" ht="19" customHeight="1">
      <x:c r="A558" s="90" t="n">
        <x:f>MONATSBUDGET!$A$34</x:f>
        <x:v>47027</x:v>
      </x:c>
      <x:c r="B558" t="n">
        <x:f>19</x:f>
        <x:v>19</x:v>
      </x:c>
      <x:c r="C558" t="str">
        <x:f>IF($N$27="","",$N$27)</x:f>
      </x:c>
      <x:c r="D558" s="88" t="str">
        <x:f>IF(C558="","",I538)</x:f>
      </x:c>
      <x:c r="E558" s="88" t="str">
        <x:f>IF(C558="","",ROUND(D558*$P$27/12,2))</x:f>
      </x:c>
      <x:c r="F558" s="88" t="str">
        <x:f>IF(C558="","",MIN(D558+E558,$Q$27))</x:f>
      </x:c>
      <x:c r="G558" s="88" t="str">
        <x:f>IF(C558="","",MIN(MAX(0,D558+E558-F558),SUMIFS(SONDERZAHLUNGEN!$E$9:$E$128,SONDERZAHLUNGEN!$B$9:$B$128,C558,SONDERZAHLUNGEN!$C$9:$C$128,A558,SONDERZAHLUNGEN!$H$9:$H$128,"OK",SONDERZAHLUNGEN!$F$9:$F$128,"Ja")))</x:f>
      </x:c>
      <x:c r="H558" s="88" t="str">
        <x:f>IF(C558="","",MIN(MAX(0,D558+E558-F558-G558),MAX(0,IF(MONATSBUDGET!$C$34="",0,MONATSBUDGET!$C$34)-SUM(F540:F559)-SUM(H540:H557))))</x:f>
      </x:c>
      <x:c r="I558" s="88" t="str">
        <x:f>IF(C558="","",MAX(0,ROUND(D558+E558-F558-G558-H558,2)))</x:f>
      </x:c>
      <x:c r="J558" s="88" t="str">
        <x:f>IF(C558="","",F558+G558+H558)</x:f>
      </x:c>
      <x:c r="K558" s="88" t="str">
        <x:f>IF(C558="","",MAX(0,SUMIFS(SONDERZAHLUNGEN!$E$9:$E$128,SONDERZAHLUNGEN!$B$9:$B$128,C558,SONDERZAHLUNGEN!$C$9:$C$128,A558,SONDERZAHLUNGEN!$H$9:$H$128,"OK",SONDERZAHLUNGEN!$F$9:$F$128,"Ja")-G558))</x:f>
      </x:c>
    </x:row>
    <x:row r="559" ht="19" customHeight="1">
      <x:c r="A559" s="90" t="n">
        <x:f>MONATSBUDGET!$A$34</x:f>
        <x:v>47027</x:v>
      </x:c>
      <x:c r="B559" t="n">
        <x:f>20</x:f>
        <x:v>20</x:v>
      </x:c>
      <x:c r="C559" t="str">
        <x:f>IF($N$28="","",$N$28)</x:f>
      </x:c>
      <x:c r="D559" s="88" t="str">
        <x:f>IF(C559="","",I539)</x:f>
      </x:c>
      <x:c r="E559" s="88" t="str">
        <x:f>IF(C559="","",ROUND(D559*$P$28/12,2))</x:f>
      </x:c>
      <x:c r="F559" s="88" t="str">
        <x:f>IF(C559="","",MIN(D559+E559,$Q$28))</x:f>
      </x:c>
      <x:c r="G559" s="88" t="str">
        <x:f>IF(C559="","",MIN(MAX(0,D559+E559-F559),SUMIFS(SONDERZAHLUNGEN!$E$9:$E$128,SONDERZAHLUNGEN!$B$9:$B$128,C559,SONDERZAHLUNGEN!$C$9:$C$128,A559,SONDERZAHLUNGEN!$H$9:$H$128,"OK",SONDERZAHLUNGEN!$F$9:$F$128,"Ja")))</x:f>
      </x:c>
      <x:c r="H559" s="88" t="str">
        <x:f>IF(C559="","",MIN(MAX(0,D559+E559-F559-G559),MAX(0,IF(MONATSBUDGET!$C$34="",0,MONATSBUDGET!$C$34)-SUM(F540:F559)-SUM(H540:H558))))</x:f>
      </x:c>
      <x:c r="I559" s="88" t="str">
        <x:f>IF(C559="","",MAX(0,ROUND(D559+E559-F559-G559-H559,2)))</x:f>
      </x:c>
      <x:c r="J559" s="88" t="str">
        <x:f>IF(C559="","",F559+G559+H559)</x:f>
      </x:c>
      <x:c r="K559" s="88" t="str">
        <x:f>IF(C559="","",MAX(0,SUMIFS(SONDERZAHLUNGEN!$E$9:$E$128,SONDERZAHLUNGEN!$B$9:$B$128,C559,SONDERZAHLUNGEN!$C$9:$C$128,A559,SONDERZAHLUNGEN!$H$9:$H$128,"OK",SONDERZAHLUNGEN!$F$9:$F$128,"Ja")-G559))</x:f>
      </x:c>
    </x:row>
    <x:row r="560" ht="19" customHeight="1">
      <x:c r="A560" s="90" t="n">
        <x:f>MONATSBUDGET!$A$35</x:f>
        <x:v>47058</x:v>
      </x:c>
      <x:c r="B560" t="n">
        <x:f>1</x:f>
        <x:v>1</x:v>
      </x:c>
      <x:c r="C560" t="str">
        <x:f>IF($N$9="","",$N$9)</x:f>
      </x:c>
      <x:c r="D560" s="88" t="str">
        <x:f>IF(C560="","",I540)</x:f>
      </x:c>
      <x:c r="E560" s="88" t="str">
        <x:f>IF(C560="","",ROUND(D560*$P$9/12,2))</x:f>
      </x:c>
      <x:c r="F560" s="88" t="str">
        <x:f>IF(C560="","",MIN(D560+E560,$Q$9))</x:f>
      </x:c>
      <x:c r="G560" s="88" t="str">
        <x:f>IF(C560="","",MIN(MAX(0,D560+E560-F560),SUMIFS(SONDERZAHLUNGEN!$E$9:$E$128,SONDERZAHLUNGEN!$B$9:$B$128,C560,SONDERZAHLUNGEN!$C$9:$C$128,A560,SONDERZAHLUNGEN!$H$9:$H$128,"OK",SONDERZAHLUNGEN!$F$9:$F$128,"Ja")))</x:f>
      </x:c>
      <x:c r="H560" s="88" t="str">
        <x:f>IF(C560="","",MIN(MAX(0,D560+E560-F560-G560),MAX(0,IF(MONATSBUDGET!$C$35="",0,MONATSBUDGET!$C$35)-SUM(F560:F579)-0)))</x:f>
      </x:c>
      <x:c r="I560" s="88" t="str">
        <x:f>IF(C560="","",MAX(0,ROUND(D560+E560-F560-G560-H560,2)))</x:f>
      </x:c>
      <x:c r="J560" s="88" t="str">
        <x:f>IF(C560="","",F560+G560+H560)</x:f>
      </x:c>
      <x:c r="K560" s="88" t="str">
        <x:f>IF(C560="","",MAX(0,SUMIFS(SONDERZAHLUNGEN!$E$9:$E$128,SONDERZAHLUNGEN!$B$9:$B$128,C560,SONDERZAHLUNGEN!$C$9:$C$128,A560,SONDERZAHLUNGEN!$H$9:$H$128,"OK",SONDERZAHLUNGEN!$F$9:$F$128,"Ja")-G560))</x:f>
      </x:c>
    </x:row>
    <x:row r="561" ht="19" customHeight="1">
      <x:c r="A561" s="90" t="n">
        <x:f>MONATSBUDGET!$A$35</x:f>
        <x:v>47058</x:v>
      </x:c>
      <x:c r="B561" t="n">
        <x:f>2</x:f>
        <x:v>2</x:v>
      </x:c>
      <x:c r="C561" t="str">
        <x:f>IF($N$10="","",$N$10)</x:f>
      </x:c>
      <x:c r="D561" s="88" t="str">
        <x:f>IF(C561="","",I541)</x:f>
      </x:c>
      <x:c r="E561" s="88" t="str">
        <x:f>IF(C561="","",ROUND(D561*$P$10/12,2))</x:f>
      </x:c>
      <x:c r="F561" s="88" t="str">
        <x:f>IF(C561="","",MIN(D561+E561,$Q$10))</x:f>
      </x:c>
      <x:c r="G561" s="88" t="str">
        <x:f>IF(C561="","",MIN(MAX(0,D561+E561-F561),SUMIFS(SONDERZAHLUNGEN!$E$9:$E$128,SONDERZAHLUNGEN!$B$9:$B$128,C561,SONDERZAHLUNGEN!$C$9:$C$128,A561,SONDERZAHLUNGEN!$H$9:$H$128,"OK",SONDERZAHLUNGEN!$F$9:$F$128,"Ja")))</x:f>
      </x:c>
      <x:c r="H561" s="88" t="str">
        <x:f>IF(C561="","",MIN(MAX(0,D561+E561-F561-G561),MAX(0,IF(MONATSBUDGET!$C$35="",0,MONATSBUDGET!$C$35)-SUM(F560:F579)-SUM(H560:H560))))</x:f>
      </x:c>
      <x:c r="I561" s="88" t="str">
        <x:f>IF(C561="","",MAX(0,ROUND(D561+E561-F561-G561-H561,2)))</x:f>
      </x:c>
      <x:c r="J561" s="88" t="str">
        <x:f>IF(C561="","",F561+G561+H561)</x:f>
      </x:c>
      <x:c r="K561" s="88" t="str">
        <x:f>IF(C561="","",MAX(0,SUMIFS(SONDERZAHLUNGEN!$E$9:$E$128,SONDERZAHLUNGEN!$B$9:$B$128,C561,SONDERZAHLUNGEN!$C$9:$C$128,A561,SONDERZAHLUNGEN!$H$9:$H$128,"OK",SONDERZAHLUNGEN!$F$9:$F$128,"Ja")-G561))</x:f>
      </x:c>
    </x:row>
    <x:row r="562" ht="19" customHeight="1">
      <x:c r="A562" s="90" t="n">
        <x:f>MONATSBUDGET!$A$35</x:f>
        <x:v>47058</x:v>
      </x:c>
      <x:c r="B562" t="n">
        <x:f>3</x:f>
        <x:v>3</x:v>
      </x:c>
      <x:c r="C562" t="str">
        <x:f>IF($N$11="","",$N$11)</x:f>
      </x:c>
      <x:c r="D562" s="88" t="str">
        <x:f>IF(C562="","",I542)</x:f>
      </x:c>
      <x:c r="E562" s="88" t="str">
        <x:f>IF(C562="","",ROUND(D562*$P$11/12,2))</x:f>
      </x:c>
      <x:c r="F562" s="88" t="str">
        <x:f>IF(C562="","",MIN(D562+E562,$Q$11))</x:f>
      </x:c>
      <x:c r="G562" s="88" t="str">
        <x:f>IF(C562="","",MIN(MAX(0,D562+E562-F562),SUMIFS(SONDERZAHLUNGEN!$E$9:$E$128,SONDERZAHLUNGEN!$B$9:$B$128,C562,SONDERZAHLUNGEN!$C$9:$C$128,A562,SONDERZAHLUNGEN!$H$9:$H$128,"OK",SONDERZAHLUNGEN!$F$9:$F$128,"Ja")))</x:f>
      </x:c>
      <x:c r="H562" s="88" t="str">
        <x:f>IF(C562="","",MIN(MAX(0,D562+E562-F562-G562),MAX(0,IF(MONATSBUDGET!$C$35="",0,MONATSBUDGET!$C$35)-SUM(F560:F579)-SUM(H560:H561))))</x:f>
      </x:c>
      <x:c r="I562" s="88" t="str">
        <x:f>IF(C562="","",MAX(0,ROUND(D562+E562-F562-G562-H562,2)))</x:f>
      </x:c>
      <x:c r="J562" s="88" t="str">
        <x:f>IF(C562="","",F562+G562+H562)</x:f>
      </x:c>
      <x:c r="K562" s="88" t="str">
        <x:f>IF(C562="","",MAX(0,SUMIFS(SONDERZAHLUNGEN!$E$9:$E$128,SONDERZAHLUNGEN!$B$9:$B$128,C562,SONDERZAHLUNGEN!$C$9:$C$128,A562,SONDERZAHLUNGEN!$H$9:$H$128,"OK",SONDERZAHLUNGEN!$F$9:$F$128,"Ja")-G562))</x:f>
      </x:c>
    </x:row>
    <x:row r="563" ht="19" customHeight="1">
      <x:c r="A563" s="90" t="n">
        <x:f>MONATSBUDGET!$A$35</x:f>
        <x:v>47058</x:v>
      </x:c>
      <x:c r="B563" t="n">
        <x:f>4</x:f>
        <x:v>4</x:v>
      </x:c>
      <x:c r="C563" t="str">
        <x:f>IF($N$12="","",$N$12)</x:f>
      </x:c>
      <x:c r="D563" s="88" t="str">
        <x:f>IF(C563="","",I543)</x:f>
      </x:c>
      <x:c r="E563" s="88" t="str">
        <x:f>IF(C563="","",ROUND(D563*$P$12/12,2))</x:f>
      </x:c>
      <x:c r="F563" s="88" t="str">
        <x:f>IF(C563="","",MIN(D563+E563,$Q$12))</x:f>
      </x:c>
      <x:c r="G563" s="88" t="str">
        <x:f>IF(C563="","",MIN(MAX(0,D563+E563-F563),SUMIFS(SONDERZAHLUNGEN!$E$9:$E$128,SONDERZAHLUNGEN!$B$9:$B$128,C563,SONDERZAHLUNGEN!$C$9:$C$128,A563,SONDERZAHLUNGEN!$H$9:$H$128,"OK",SONDERZAHLUNGEN!$F$9:$F$128,"Ja")))</x:f>
      </x:c>
      <x:c r="H563" s="88" t="str">
        <x:f>IF(C563="","",MIN(MAX(0,D563+E563-F563-G563),MAX(0,IF(MONATSBUDGET!$C$35="",0,MONATSBUDGET!$C$35)-SUM(F560:F579)-SUM(H560:H562))))</x:f>
      </x:c>
      <x:c r="I563" s="88" t="str">
        <x:f>IF(C563="","",MAX(0,ROUND(D563+E563-F563-G563-H563,2)))</x:f>
      </x:c>
      <x:c r="J563" s="88" t="str">
        <x:f>IF(C563="","",F563+G563+H563)</x:f>
      </x:c>
      <x:c r="K563" s="88" t="str">
        <x:f>IF(C563="","",MAX(0,SUMIFS(SONDERZAHLUNGEN!$E$9:$E$128,SONDERZAHLUNGEN!$B$9:$B$128,C563,SONDERZAHLUNGEN!$C$9:$C$128,A563,SONDERZAHLUNGEN!$H$9:$H$128,"OK",SONDERZAHLUNGEN!$F$9:$F$128,"Ja")-G563))</x:f>
      </x:c>
    </x:row>
    <x:row r="564" ht="19" customHeight="1">
      <x:c r="A564" s="90" t="n">
        <x:f>MONATSBUDGET!$A$35</x:f>
        <x:v>47058</x:v>
      </x:c>
      <x:c r="B564" t="n">
        <x:f>5</x:f>
        <x:v>5</x:v>
      </x:c>
      <x:c r="C564" t="str">
        <x:f>IF($N$13="","",$N$13)</x:f>
      </x:c>
      <x:c r="D564" s="88" t="str">
        <x:f>IF(C564="","",I544)</x:f>
      </x:c>
      <x:c r="E564" s="88" t="str">
        <x:f>IF(C564="","",ROUND(D564*$P$13/12,2))</x:f>
      </x:c>
      <x:c r="F564" s="88" t="str">
        <x:f>IF(C564="","",MIN(D564+E564,$Q$13))</x:f>
      </x:c>
      <x:c r="G564" s="88" t="str">
        <x:f>IF(C564="","",MIN(MAX(0,D564+E564-F564),SUMIFS(SONDERZAHLUNGEN!$E$9:$E$128,SONDERZAHLUNGEN!$B$9:$B$128,C564,SONDERZAHLUNGEN!$C$9:$C$128,A564,SONDERZAHLUNGEN!$H$9:$H$128,"OK",SONDERZAHLUNGEN!$F$9:$F$128,"Ja")))</x:f>
      </x:c>
      <x:c r="H564" s="88" t="str">
        <x:f>IF(C564="","",MIN(MAX(0,D564+E564-F564-G564),MAX(0,IF(MONATSBUDGET!$C$35="",0,MONATSBUDGET!$C$35)-SUM(F560:F579)-SUM(H560:H563))))</x:f>
      </x:c>
      <x:c r="I564" s="88" t="str">
        <x:f>IF(C564="","",MAX(0,ROUND(D564+E564-F564-G564-H564,2)))</x:f>
      </x:c>
      <x:c r="J564" s="88" t="str">
        <x:f>IF(C564="","",F564+G564+H564)</x:f>
      </x:c>
      <x:c r="K564" s="88" t="str">
        <x:f>IF(C564="","",MAX(0,SUMIFS(SONDERZAHLUNGEN!$E$9:$E$128,SONDERZAHLUNGEN!$B$9:$B$128,C564,SONDERZAHLUNGEN!$C$9:$C$128,A564,SONDERZAHLUNGEN!$H$9:$H$128,"OK",SONDERZAHLUNGEN!$F$9:$F$128,"Ja")-G564))</x:f>
      </x:c>
    </x:row>
    <x:row r="565" ht="19" customHeight="1">
      <x:c r="A565" s="90" t="n">
        <x:f>MONATSBUDGET!$A$35</x:f>
        <x:v>47058</x:v>
      </x:c>
      <x:c r="B565" t="n">
        <x:f>6</x:f>
        <x:v>6</x:v>
      </x:c>
      <x:c r="C565" t="str">
        <x:f>IF($N$14="","",$N$14)</x:f>
      </x:c>
      <x:c r="D565" s="88" t="str">
        <x:f>IF(C565="","",I545)</x:f>
      </x:c>
      <x:c r="E565" s="88" t="str">
        <x:f>IF(C565="","",ROUND(D565*$P$14/12,2))</x:f>
      </x:c>
      <x:c r="F565" s="88" t="str">
        <x:f>IF(C565="","",MIN(D565+E565,$Q$14))</x:f>
      </x:c>
      <x:c r="G565" s="88" t="str">
        <x:f>IF(C565="","",MIN(MAX(0,D565+E565-F565),SUMIFS(SONDERZAHLUNGEN!$E$9:$E$128,SONDERZAHLUNGEN!$B$9:$B$128,C565,SONDERZAHLUNGEN!$C$9:$C$128,A565,SONDERZAHLUNGEN!$H$9:$H$128,"OK",SONDERZAHLUNGEN!$F$9:$F$128,"Ja")))</x:f>
      </x:c>
      <x:c r="H565" s="88" t="str">
        <x:f>IF(C565="","",MIN(MAX(0,D565+E565-F565-G565),MAX(0,IF(MONATSBUDGET!$C$35="",0,MONATSBUDGET!$C$35)-SUM(F560:F579)-SUM(H560:H564))))</x:f>
      </x:c>
      <x:c r="I565" s="88" t="str">
        <x:f>IF(C565="","",MAX(0,ROUND(D565+E565-F565-G565-H565,2)))</x:f>
      </x:c>
      <x:c r="J565" s="88" t="str">
        <x:f>IF(C565="","",F565+G565+H565)</x:f>
      </x:c>
      <x:c r="K565" s="88" t="str">
        <x:f>IF(C565="","",MAX(0,SUMIFS(SONDERZAHLUNGEN!$E$9:$E$128,SONDERZAHLUNGEN!$B$9:$B$128,C565,SONDERZAHLUNGEN!$C$9:$C$128,A565,SONDERZAHLUNGEN!$H$9:$H$128,"OK",SONDERZAHLUNGEN!$F$9:$F$128,"Ja")-G565))</x:f>
      </x:c>
    </x:row>
    <x:row r="566" ht="19" customHeight="1">
      <x:c r="A566" s="90" t="n">
        <x:f>MONATSBUDGET!$A$35</x:f>
        <x:v>47058</x:v>
      </x:c>
      <x:c r="B566" t="n">
        <x:f>7</x:f>
        <x:v>7</x:v>
      </x:c>
      <x:c r="C566" t="str">
        <x:f>IF($N$15="","",$N$15)</x:f>
      </x:c>
      <x:c r="D566" s="88" t="str">
        <x:f>IF(C566="","",I546)</x:f>
      </x:c>
      <x:c r="E566" s="88" t="str">
        <x:f>IF(C566="","",ROUND(D566*$P$15/12,2))</x:f>
      </x:c>
      <x:c r="F566" s="88" t="str">
        <x:f>IF(C566="","",MIN(D566+E566,$Q$15))</x:f>
      </x:c>
      <x:c r="G566" s="88" t="str">
        <x:f>IF(C566="","",MIN(MAX(0,D566+E566-F566),SUMIFS(SONDERZAHLUNGEN!$E$9:$E$128,SONDERZAHLUNGEN!$B$9:$B$128,C566,SONDERZAHLUNGEN!$C$9:$C$128,A566,SONDERZAHLUNGEN!$H$9:$H$128,"OK",SONDERZAHLUNGEN!$F$9:$F$128,"Ja")))</x:f>
      </x:c>
      <x:c r="H566" s="88" t="str">
        <x:f>IF(C566="","",MIN(MAX(0,D566+E566-F566-G566),MAX(0,IF(MONATSBUDGET!$C$35="",0,MONATSBUDGET!$C$35)-SUM(F560:F579)-SUM(H560:H565))))</x:f>
      </x:c>
      <x:c r="I566" s="88" t="str">
        <x:f>IF(C566="","",MAX(0,ROUND(D566+E566-F566-G566-H566,2)))</x:f>
      </x:c>
      <x:c r="J566" s="88" t="str">
        <x:f>IF(C566="","",F566+G566+H566)</x:f>
      </x:c>
      <x:c r="K566" s="88" t="str">
        <x:f>IF(C566="","",MAX(0,SUMIFS(SONDERZAHLUNGEN!$E$9:$E$128,SONDERZAHLUNGEN!$B$9:$B$128,C566,SONDERZAHLUNGEN!$C$9:$C$128,A566,SONDERZAHLUNGEN!$H$9:$H$128,"OK",SONDERZAHLUNGEN!$F$9:$F$128,"Ja")-G566))</x:f>
      </x:c>
    </x:row>
    <x:row r="567" ht="19" customHeight="1">
      <x:c r="A567" s="90" t="n">
        <x:f>MONATSBUDGET!$A$35</x:f>
        <x:v>47058</x:v>
      </x:c>
      <x:c r="B567" t="n">
        <x:f>8</x:f>
        <x:v>8</x:v>
      </x:c>
      <x:c r="C567" t="str">
        <x:f>IF($N$16="","",$N$16)</x:f>
      </x:c>
      <x:c r="D567" s="88" t="str">
        <x:f>IF(C567="","",I547)</x:f>
      </x:c>
      <x:c r="E567" s="88" t="str">
        <x:f>IF(C567="","",ROUND(D567*$P$16/12,2))</x:f>
      </x:c>
      <x:c r="F567" s="88" t="str">
        <x:f>IF(C567="","",MIN(D567+E567,$Q$16))</x:f>
      </x:c>
      <x:c r="G567" s="88" t="str">
        <x:f>IF(C567="","",MIN(MAX(0,D567+E567-F567),SUMIFS(SONDERZAHLUNGEN!$E$9:$E$128,SONDERZAHLUNGEN!$B$9:$B$128,C567,SONDERZAHLUNGEN!$C$9:$C$128,A567,SONDERZAHLUNGEN!$H$9:$H$128,"OK",SONDERZAHLUNGEN!$F$9:$F$128,"Ja")))</x:f>
      </x:c>
      <x:c r="H567" s="88" t="str">
        <x:f>IF(C567="","",MIN(MAX(0,D567+E567-F567-G567),MAX(0,IF(MONATSBUDGET!$C$35="",0,MONATSBUDGET!$C$35)-SUM(F560:F579)-SUM(H560:H566))))</x:f>
      </x:c>
      <x:c r="I567" s="88" t="str">
        <x:f>IF(C567="","",MAX(0,ROUND(D567+E567-F567-G567-H567,2)))</x:f>
      </x:c>
      <x:c r="J567" s="88" t="str">
        <x:f>IF(C567="","",F567+G567+H567)</x:f>
      </x:c>
      <x:c r="K567" s="88" t="str">
        <x:f>IF(C567="","",MAX(0,SUMIFS(SONDERZAHLUNGEN!$E$9:$E$128,SONDERZAHLUNGEN!$B$9:$B$128,C567,SONDERZAHLUNGEN!$C$9:$C$128,A567,SONDERZAHLUNGEN!$H$9:$H$128,"OK",SONDERZAHLUNGEN!$F$9:$F$128,"Ja")-G567))</x:f>
      </x:c>
    </x:row>
    <x:row r="568" ht="19" customHeight="1">
      <x:c r="A568" s="90" t="n">
        <x:f>MONATSBUDGET!$A$35</x:f>
        <x:v>47058</x:v>
      </x:c>
      <x:c r="B568" t="n">
        <x:f>9</x:f>
        <x:v>9</x:v>
      </x:c>
      <x:c r="C568" t="str">
        <x:f>IF($N$17="","",$N$17)</x:f>
      </x:c>
      <x:c r="D568" s="88" t="str">
        <x:f>IF(C568="","",I548)</x:f>
      </x:c>
      <x:c r="E568" s="88" t="str">
        <x:f>IF(C568="","",ROUND(D568*$P$17/12,2))</x:f>
      </x:c>
      <x:c r="F568" s="88" t="str">
        <x:f>IF(C568="","",MIN(D568+E568,$Q$17))</x:f>
      </x:c>
      <x:c r="G568" s="88" t="str">
        <x:f>IF(C568="","",MIN(MAX(0,D568+E568-F568),SUMIFS(SONDERZAHLUNGEN!$E$9:$E$128,SONDERZAHLUNGEN!$B$9:$B$128,C568,SONDERZAHLUNGEN!$C$9:$C$128,A568,SONDERZAHLUNGEN!$H$9:$H$128,"OK",SONDERZAHLUNGEN!$F$9:$F$128,"Ja")))</x:f>
      </x:c>
      <x:c r="H568" s="88" t="str">
        <x:f>IF(C568="","",MIN(MAX(0,D568+E568-F568-G568),MAX(0,IF(MONATSBUDGET!$C$35="",0,MONATSBUDGET!$C$35)-SUM(F560:F579)-SUM(H560:H567))))</x:f>
      </x:c>
      <x:c r="I568" s="88" t="str">
        <x:f>IF(C568="","",MAX(0,ROUND(D568+E568-F568-G568-H568,2)))</x:f>
      </x:c>
      <x:c r="J568" s="88" t="str">
        <x:f>IF(C568="","",F568+G568+H568)</x:f>
      </x:c>
      <x:c r="K568" s="88" t="str">
        <x:f>IF(C568="","",MAX(0,SUMIFS(SONDERZAHLUNGEN!$E$9:$E$128,SONDERZAHLUNGEN!$B$9:$B$128,C568,SONDERZAHLUNGEN!$C$9:$C$128,A568,SONDERZAHLUNGEN!$H$9:$H$128,"OK",SONDERZAHLUNGEN!$F$9:$F$128,"Ja")-G568))</x:f>
      </x:c>
    </x:row>
    <x:row r="569" ht="19" customHeight="1">
      <x:c r="A569" s="90" t="n">
        <x:f>MONATSBUDGET!$A$35</x:f>
        <x:v>47058</x:v>
      </x:c>
      <x:c r="B569" t="n">
        <x:f>10</x:f>
        <x:v>10</x:v>
      </x:c>
      <x:c r="C569" t="str">
        <x:f>IF($N$18="","",$N$18)</x:f>
      </x:c>
      <x:c r="D569" s="88" t="str">
        <x:f>IF(C569="","",I549)</x:f>
      </x:c>
      <x:c r="E569" s="88" t="str">
        <x:f>IF(C569="","",ROUND(D569*$P$18/12,2))</x:f>
      </x:c>
      <x:c r="F569" s="88" t="str">
        <x:f>IF(C569="","",MIN(D569+E569,$Q$18))</x:f>
      </x:c>
      <x:c r="G569" s="88" t="str">
        <x:f>IF(C569="","",MIN(MAX(0,D569+E569-F569),SUMIFS(SONDERZAHLUNGEN!$E$9:$E$128,SONDERZAHLUNGEN!$B$9:$B$128,C569,SONDERZAHLUNGEN!$C$9:$C$128,A569,SONDERZAHLUNGEN!$H$9:$H$128,"OK",SONDERZAHLUNGEN!$F$9:$F$128,"Ja")))</x:f>
      </x:c>
      <x:c r="H569" s="88" t="str">
        <x:f>IF(C569="","",MIN(MAX(0,D569+E569-F569-G569),MAX(0,IF(MONATSBUDGET!$C$35="",0,MONATSBUDGET!$C$35)-SUM(F560:F579)-SUM(H560:H568))))</x:f>
      </x:c>
      <x:c r="I569" s="88" t="str">
        <x:f>IF(C569="","",MAX(0,ROUND(D569+E569-F569-G569-H569,2)))</x:f>
      </x:c>
      <x:c r="J569" s="88" t="str">
        <x:f>IF(C569="","",F569+G569+H569)</x:f>
      </x:c>
      <x:c r="K569" s="88" t="str">
        <x:f>IF(C569="","",MAX(0,SUMIFS(SONDERZAHLUNGEN!$E$9:$E$128,SONDERZAHLUNGEN!$B$9:$B$128,C569,SONDERZAHLUNGEN!$C$9:$C$128,A569,SONDERZAHLUNGEN!$H$9:$H$128,"OK",SONDERZAHLUNGEN!$F$9:$F$128,"Ja")-G569))</x:f>
      </x:c>
    </x:row>
    <x:row r="570" ht="19" customHeight="1">
      <x:c r="A570" s="90" t="n">
        <x:f>MONATSBUDGET!$A$35</x:f>
        <x:v>47058</x:v>
      </x:c>
      <x:c r="B570" t="n">
        <x:f>11</x:f>
        <x:v>11</x:v>
      </x:c>
      <x:c r="C570" t="str">
        <x:f>IF($N$19="","",$N$19)</x:f>
      </x:c>
      <x:c r="D570" s="88" t="str">
        <x:f>IF(C570="","",I550)</x:f>
      </x:c>
      <x:c r="E570" s="88" t="str">
        <x:f>IF(C570="","",ROUND(D570*$P$19/12,2))</x:f>
      </x:c>
      <x:c r="F570" s="88" t="str">
        <x:f>IF(C570="","",MIN(D570+E570,$Q$19))</x:f>
      </x:c>
      <x:c r="G570" s="88" t="str">
        <x:f>IF(C570="","",MIN(MAX(0,D570+E570-F570),SUMIFS(SONDERZAHLUNGEN!$E$9:$E$128,SONDERZAHLUNGEN!$B$9:$B$128,C570,SONDERZAHLUNGEN!$C$9:$C$128,A570,SONDERZAHLUNGEN!$H$9:$H$128,"OK",SONDERZAHLUNGEN!$F$9:$F$128,"Ja")))</x:f>
      </x:c>
      <x:c r="H570" s="88" t="str">
        <x:f>IF(C570="","",MIN(MAX(0,D570+E570-F570-G570),MAX(0,IF(MONATSBUDGET!$C$35="",0,MONATSBUDGET!$C$35)-SUM(F560:F579)-SUM(H560:H569))))</x:f>
      </x:c>
      <x:c r="I570" s="88" t="str">
        <x:f>IF(C570="","",MAX(0,ROUND(D570+E570-F570-G570-H570,2)))</x:f>
      </x:c>
      <x:c r="J570" s="88" t="str">
        <x:f>IF(C570="","",F570+G570+H570)</x:f>
      </x:c>
      <x:c r="K570" s="88" t="str">
        <x:f>IF(C570="","",MAX(0,SUMIFS(SONDERZAHLUNGEN!$E$9:$E$128,SONDERZAHLUNGEN!$B$9:$B$128,C570,SONDERZAHLUNGEN!$C$9:$C$128,A570,SONDERZAHLUNGEN!$H$9:$H$128,"OK",SONDERZAHLUNGEN!$F$9:$F$128,"Ja")-G570))</x:f>
      </x:c>
    </x:row>
    <x:row r="571" ht="19" customHeight="1">
      <x:c r="A571" s="90" t="n">
        <x:f>MONATSBUDGET!$A$35</x:f>
        <x:v>47058</x:v>
      </x:c>
      <x:c r="B571" t="n">
        <x:f>12</x:f>
        <x:v>12</x:v>
      </x:c>
      <x:c r="C571" t="str">
        <x:f>IF($N$20="","",$N$20)</x:f>
      </x:c>
      <x:c r="D571" s="88" t="str">
        <x:f>IF(C571="","",I551)</x:f>
      </x:c>
      <x:c r="E571" s="88" t="str">
        <x:f>IF(C571="","",ROUND(D571*$P$20/12,2))</x:f>
      </x:c>
      <x:c r="F571" s="88" t="str">
        <x:f>IF(C571="","",MIN(D571+E571,$Q$20))</x:f>
      </x:c>
      <x:c r="G571" s="88" t="str">
        <x:f>IF(C571="","",MIN(MAX(0,D571+E571-F571),SUMIFS(SONDERZAHLUNGEN!$E$9:$E$128,SONDERZAHLUNGEN!$B$9:$B$128,C571,SONDERZAHLUNGEN!$C$9:$C$128,A571,SONDERZAHLUNGEN!$H$9:$H$128,"OK",SONDERZAHLUNGEN!$F$9:$F$128,"Ja")))</x:f>
      </x:c>
      <x:c r="H571" s="88" t="str">
        <x:f>IF(C571="","",MIN(MAX(0,D571+E571-F571-G571),MAX(0,IF(MONATSBUDGET!$C$35="",0,MONATSBUDGET!$C$35)-SUM(F560:F579)-SUM(H560:H570))))</x:f>
      </x:c>
      <x:c r="I571" s="88" t="str">
        <x:f>IF(C571="","",MAX(0,ROUND(D571+E571-F571-G571-H571,2)))</x:f>
      </x:c>
      <x:c r="J571" s="88" t="str">
        <x:f>IF(C571="","",F571+G571+H571)</x:f>
      </x:c>
      <x:c r="K571" s="88" t="str">
        <x:f>IF(C571="","",MAX(0,SUMIFS(SONDERZAHLUNGEN!$E$9:$E$128,SONDERZAHLUNGEN!$B$9:$B$128,C571,SONDERZAHLUNGEN!$C$9:$C$128,A571,SONDERZAHLUNGEN!$H$9:$H$128,"OK",SONDERZAHLUNGEN!$F$9:$F$128,"Ja")-G571))</x:f>
      </x:c>
    </x:row>
    <x:row r="572" ht="19" customHeight="1">
      <x:c r="A572" s="90" t="n">
        <x:f>MONATSBUDGET!$A$35</x:f>
        <x:v>47058</x:v>
      </x:c>
      <x:c r="B572" t="n">
        <x:f>13</x:f>
        <x:v>13</x:v>
      </x:c>
      <x:c r="C572" t="str">
        <x:f>IF($N$21="","",$N$21)</x:f>
      </x:c>
      <x:c r="D572" s="88" t="str">
        <x:f>IF(C572="","",I552)</x:f>
      </x:c>
      <x:c r="E572" s="88" t="str">
        <x:f>IF(C572="","",ROUND(D572*$P$21/12,2))</x:f>
      </x:c>
      <x:c r="F572" s="88" t="str">
        <x:f>IF(C572="","",MIN(D572+E572,$Q$21))</x:f>
      </x:c>
      <x:c r="G572" s="88" t="str">
        <x:f>IF(C572="","",MIN(MAX(0,D572+E572-F572),SUMIFS(SONDERZAHLUNGEN!$E$9:$E$128,SONDERZAHLUNGEN!$B$9:$B$128,C572,SONDERZAHLUNGEN!$C$9:$C$128,A572,SONDERZAHLUNGEN!$H$9:$H$128,"OK",SONDERZAHLUNGEN!$F$9:$F$128,"Ja")))</x:f>
      </x:c>
      <x:c r="H572" s="88" t="str">
        <x:f>IF(C572="","",MIN(MAX(0,D572+E572-F572-G572),MAX(0,IF(MONATSBUDGET!$C$35="",0,MONATSBUDGET!$C$35)-SUM(F560:F579)-SUM(H560:H571))))</x:f>
      </x:c>
      <x:c r="I572" s="88" t="str">
        <x:f>IF(C572="","",MAX(0,ROUND(D572+E572-F572-G572-H572,2)))</x:f>
      </x:c>
      <x:c r="J572" s="88" t="str">
        <x:f>IF(C572="","",F572+G572+H572)</x:f>
      </x:c>
      <x:c r="K572" s="88" t="str">
        <x:f>IF(C572="","",MAX(0,SUMIFS(SONDERZAHLUNGEN!$E$9:$E$128,SONDERZAHLUNGEN!$B$9:$B$128,C572,SONDERZAHLUNGEN!$C$9:$C$128,A572,SONDERZAHLUNGEN!$H$9:$H$128,"OK",SONDERZAHLUNGEN!$F$9:$F$128,"Ja")-G572))</x:f>
      </x:c>
    </x:row>
    <x:row r="573" ht="19" customHeight="1">
      <x:c r="A573" s="90" t="n">
        <x:f>MONATSBUDGET!$A$35</x:f>
        <x:v>47058</x:v>
      </x:c>
      <x:c r="B573" t="n">
        <x:f>14</x:f>
        <x:v>14</x:v>
      </x:c>
      <x:c r="C573" t="str">
        <x:f>IF($N$22="","",$N$22)</x:f>
      </x:c>
      <x:c r="D573" s="88" t="str">
        <x:f>IF(C573="","",I553)</x:f>
      </x:c>
      <x:c r="E573" s="88" t="str">
        <x:f>IF(C573="","",ROUND(D573*$P$22/12,2))</x:f>
      </x:c>
      <x:c r="F573" s="88" t="str">
        <x:f>IF(C573="","",MIN(D573+E573,$Q$22))</x:f>
      </x:c>
      <x:c r="G573" s="88" t="str">
        <x:f>IF(C573="","",MIN(MAX(0,D573+E573-F573),SUMIFS(SONDERZAHLUNGEN!$E$9:$E$128,SONDERZAHLUNGEN!$B$9:$B$128,C573,SONDERZAHLUNGEN!$C$9:$C$128,A573,SONDERZAHLUNGEN!$H$9:$H$128,"OK",SONDERZAHLUNGEN!$F$9:$F$128,"Ja")))</x:f>
      </x:c>
      <x:c r="H573" s="88" t="str">
        <x:f>IF(C573="","",MIN(MAX(0,D573+E573-F573-G573),MAX(0,IF(MONATSBUDGET!$C$35="",0,MONATSBUDGET!$C$35)-SUM(F560:F579)-SUM(H560:H572))))</x:f>
      </x:c>
      <x:c r="I573" s="88" t="str">
        <x:f>IF(C573="","",MAX(0,ROUND(D573+E573-F573-G573-H573,2)))</x:f>
      </x:c>
      <x:c r="J573" s="88" t="str">
        <x:f>IF(C573="","",F573+G573+H573)</x:f>
      </x:c>
      <x:c r="K573" s="88" t="str">
        <x:f>IF(C573="","",MAX(0,SUMIFS(SONDERZAHLUNGEN!$E$9:$E$128,SONDERZAHLUNGEN!$B$9:$B$128,C573,SONDERZAHLUNGEN!$C$9:$C$128,A573,SONDERZAHLUNGEN!$H$9:$H$128,"OK",SONDERZAHLUNGEN!$F$9:$F$128,"Ja")-G573))</x:f>
      </x:c>
    </x:row>
    <x:row r="574" ht="19" customHeight="1">
      <x:c r="A574" s="90" t="n">
        <x:f>MONATSBUDGET!$A$35</x:f>
        <x:v>47058</x:v>
      </x:c>
      <x:c r="B574" t="n">
        <x:f>15</x:f>
        <x:v>15</x:v>
      </x:c>
      <x:c r="C574" t="str">
        <x:f>IF($N$23="","",$N$23)</x:f>
      </x:c>
      <x:c r="D574" s="88" t="str">
        <x:f>IF(C574="","",I554)</x:f>
      </x:c>
      <x:c r="E574" s="88" t="str">
        <x:f>IF(C574="","",ROUND(D574*$P$23/12,2))</x:f>
      </x:c>
      <x:c r="F574" s="88" t="str">
        <x:f>IF(C574="","",MIN(D574+E574,$Q$23))</x:f>
      </x:c>
      <x:c r="G574" s="88" t="str">
        <x:f>IF(C574="","",MIN(MAX(0,D574+E574-F574),SUMIFS(SONDERZAHLUNGEN!$E$9:$E$128,SONDERZAHLUNGEN!$B$9:$B$128,C574,SONDERZAHLUNGEN!$C$9:$C$128,A574,SONDERZAHLUNGEN!$H$9:$H$128,"OK",SONDERZAHLUNGEN!$F$9:$F$128,"Ja")))</x:f>
      </x:c>
      <x:c r="H574" s="88" t="str">
        <x:f>IF(C574="","",MIN(MAX(0,D574+E574-F574-G574),MAX(0,IF(MONATSBUDGET!$C$35="",0,MONATSBUDGET!$C$35)-SUM(F560:F579)-SUM(H560:H573))))</x:f>
      </x:c>
      <x:c r="I574" s="88" t="str">
        <x:f>IF(C574="","",MAX(0,ROUND(D574+E574-F574-G574-H574,2)))</x:f>
      </x:c>
      <x:c r="J574" s="88" t="str">
        <x:f>IF(C574="","",F574+G574+H574)</x:f>
      </x:c>
      <x:c r="K574" s="88" t="str">
        <x:f>IF(C574="","",MAX(0,SUMIFS(SONDERZAHLUNGEN!$E$9:$E$128,SONDERZAHLUNGEN!$B$9:$B$128,C574,SONDERZAHLUNGEN!$C$9:$C$128,A574,SONDERZAHLUNGEN!$H$9:$H$128,"OK",SONDERZAHLUNGEN!$F$9:$F$128,"Ja")-G574))</x:f>
      </x:c>
    </x:row>
    <x:row r="575" ht="19" customHeight="1">
      <x:c r="A575" s="90" t="n">
        <x:f>MONATSBUDGET!$A$35</x:f>
        <x:v>47058</x:v>
      </x:c>
      <x:c r="B575" t="n">
        <x:f>16</x:f>
        <x:v>16</x:v>
      </x:c>
      <x:c r="C575" t="str">
        <x:f>IF($N$24="","",$N$24)</x:f>
      </x:c>
      <x:c r="D575" s="88" t="str">
        <x:f>IF(C575="","",I555)</x:f>
      </x:c>
      <x:c r="E575" s="88" t="str">
        <x:f>IF(C575="","",ROUND(D575*$P$24/12,2))</x:f>
      </x:c>
      <x:c r="F575" s="88" t="str">
        <x:f>IF(C575="","",MIN(D575+E575,$Q$24))</x:f>
      </x:c>
      <x:c r="G575" s="88" t="str">
        <x:f>IF(C575="","",MIN(MAX(0,D575+E575-F575),SUMIFS(SONDERZAHLUNGEN!$E$9:$E$128,SONDERZAHLUNGEN!$B$9:$B$128,C575,SONDERZAHLUNGEN!$C$9:$C$128,A575,SONDERZAHLUNGEN!$H$9:$H$128,"OK",SONDERZAHLUNGEN!$F$9:$F$128,"Ja")))</x:f>
      </x:c>
      <x:c r="H575" s="88" t="str">
        <x:f>IF(C575="","",MIN(MAX(0,D575+E575-F575-G575),MAX(0,IF(MONATSBUDGET!$C$35="",0,MONATSBUDGET!$C$35)-SUM(F560:F579)-SUM(H560:H574))))</x:f>
      </x:c>
      <x:c r="I575" s="88" t="str">
        <x:f>IF(C575="","",MAX(0,ROUND(D575+E575-F575-G575-H575,2)))</x:f>
      </x:c>
      <x:c r="J575" s="88" t="str">
        <x:f>IF(C575="","",F575+G575+H575)</x:f>
      </x:c>
      <x:c r="K575" s="88" t="str">
        <x:f>IF(C575="","",MAX(0,SUMIFS(SONDERZAHLUNGEN!$E$9:$E$128,SONDERZAHLUNGEN!$B$9:$B$128,C575,SONDERZAHLUNGEN!$C$9:$C$128,A575,SONDERZAHLUNGEN!$H$9:$H$128,"OK",SONDERZAHLUNGEN!$F$9:$F$128,"Ja")-G575))</x:f>
      </x:c>
    </x:row>
    <x:row r="576" ht="19" customHeight="1">
      <x:c r="A576" s="90" t="n">
        <x:f>MONATSBUDGET!$A$35</x:f>
        <x:v>47058</x:v>
      </x:c>
      <x:c r="B576" t="n">
        <x:f>17</x:f>
        <x:v>17</x:v>
      </x:c>
      <x:c r="C576" t="str">
        <x:f>IF($N$25="","",$N$25)</x:f>
      </x:c>
      <x:c r="D576" s="88" t="str">
        <x:f>IF(C576="","",I556)</x:f>
      </x:c>
      <x:c r="E576" s="88" t="str">
        <x:f>IF(C576="","",ROUND(D576*$P$25/12,2))</x:f>
      </x:c>
      <x:c r="F576" s="88" t="str">
        <x:f>IF(C576="","",MIN(D576+E576,$Q$25))</x:f>
      </x:c>
      <x:c r="G576" s="88" t="str">
        <x:f>IF(C576="","",MIN(MAX(0,D576+E576-F576),SUMIFS(SONDERZAHLUNGEN!$E$9:$E$128,SONDERZAHLUNGEN!$B$9:$B$128,C576,SONDERZAHLUNGEN!$C$9:$C$128,A576,SONDERZAHLUNGEN!$H$9:$H$128,"OK",SONDERZAHLUNGEN!$F$9:$F$128,"Ja")))</x:f>
      </x:c>
      <x:c r="H576" s="88" t="str">
        <x:f>IF(C576="","",MIN(MAX(0,D576+E576-F576-G576),MAX(0,IF(MONATSBUDGET!$C$35="",0,MONATSBUDGET!$C$35)-SUM(F560:F579)-SUM(H560:H575))))</x:f>
      </x:c>
      <x:c r="I576" s="88" t="str">
        <x:f>IF(C576="","",MAX(0,ROUND(D576+E576-F576-G576-H576,2)))</x:f>
      </x:c>
      <x:c r="J576" s="88" t="str">
        <x:f>IF(C576="","",F576+G576+H576)</x:f>
      </x:c>
      <x:c r="K576" s="88" t="str">
        <x:f>IF(C576="","",MAX(0,SUMIFS(SONDERZAHLUNGEN!$E$9:$E$128,SONDERZAHLUNGEN!$B$9:$B$128,C576,SONDERZAHLUNGEN!$C$9:$C$128,A576,SONDERZAHLUNGEN!$H$9:$H$128,"OK",SONDERZAHLUNGEN!$F$9:$F$128,"Ja")-G576))</x:f>
      </x:c>
    </x:row>
    <x:row r="577" ht="19" customHeight="1">
      <x:c r="A577" s="90" t="n">
        <x:f>MONATSBUDGET!$A$35</x:f>
        <x:v>47058</x:v>
      </x:c>
      <x:c r="B577" t="n">
        <x:f>18</x:f>
        <x:v>18</x:v>
      </x:c>
      <x:c r="C577" t="str">
        <x:f>IF($N$26="","",$N$26)</x:f>
      </x:c>
      <x:c r="D577" s="88" t="str">
        <x:f>IF(C577="","",I557)</x:f>
      </x:c>
      <x:c r="E577" s="88" t="str">
        <x:f>IF(C577="","",ROUND(D577*$P$26/12,2))</x:f>
      </x:c>
      <x:c r="F577" s="88" t="str">
        <x:f>IF(C577="","",MIN(D577+E577,$Q$26))</x:f>
      </x:c>
      <x:c r="G577" s="88" t="str">
        <x:f>IF(C577="","",MIN(MAX(0,D577+E577-F577),SUMIFS(SONDERZAHLUNGEN!$E$9:$E$128,SONDERZAHLUNGEN!$B$9:$B$128,C577,SONDERZAHLUNGEN!$C$9:$C$128,A577,SONDERZAHLUNGEN!$H$9:$H$128,"OK",SONDERZAHLUNGEN!$F$9:$F$128,"Ja")))</x:f>
      </x:c>
      <x:c r="H577" s="88" t="str">
        <x:f>IF(C577="","",MIN(MAX(0,D577+E577-F577-G577),MAX(0,IF(MONATSBUDGET!$C$35="",0,MONATSBUDGET!$C$35)-SUM(F560:F579)-SUM(H560:H576))))</x:f>
      </x:c>
      <x:c r="I577" s="88" t="str">
        <x:f>IF(C577="","",MAX(0,ROUND(D577+E577-F577-G577-H577,2)))</x:f>
      </x:c>
      <x:c r="J577" s="88" t="str">
        <x:f>IF(C577="","",F577+G577+H577)</x:f>
      </x:c>
      <x:c r="K577" s="88" t="str">
        <x:f>IF(C577="","",MAX(0,SUMIFS(SONDERZAHLUNGEN!$E$9:$E$128,SONDERZAHLUNGEN!$B$9:$B$128,C577,SONDERZAHLUNGEN!$C$9:$C$128,A577,SONDERZAHLUNGEN!$H$9:$H$128,"OK",SONDERZAHLUNGEN!$F$9:$F$128,"Ja")-G577))</x:f>
      </x:c>
    </x:row>
    <x:row r="578" ht="19" customHeight="1">
      <x:c r="A578" s="90" t="n">
        <x:f>MONATSBUDGET!$A$35</x:f>
        <x:v>47058</x:v>
      </x:c>
      <x:c r="B578" t="n">
        <x:f>19</x:f>
        <x:v>19</x:v>
      </x:c>
      <x:c r="C578" t="str">
        <x:f>IF($N$27="","",$N$27)</x:f>
      </x:c>
      <x:c r="D578" s="88" t="str">
        <x:f>IF(C578="","",I558)</x:f>
      </x:c>
      <x:c r="E578" s="88" t="str">
        <x:f>IF(C578="","",ROUND(D578*$P$27/12,2))</x:f>
      </x:c>
      <x:c r="F578" s="88" t="str">
        <x:f>IF(C578="","",MIN(D578+E578,$Q$27))</x:f>
      </x:c>
      <x:c r="G578" s="88" t="str">
        <x:f>IF(C578="","",MIN(MAX(0,D578+E578-F578),SUMIFS(SONDERZAHLUNGEN!$E$9:$E$128,SONDERZAHLUNGEN!$B$9:$B$128,C578,SONDERZAHLUNGEN!$C$9:$C$128,A578,SONDERZAHLUNGEN!$H$9:$H$128,"OK",SONDERZAHLUNGEN!$F$9:$F$128,"Ja")))</x:f>
      </x:c>
      <x:c r="H578" s="88" t="str">
        <x:f>IF(C578="","",MIN(MAX(0,D578+E578-F578-G578),MAX(0,IF(MONATSBUDGET!$C$35="",0,MONATSBUDGET!$C$35)-SUM(F560:F579)-SUM(H560:H577))))</x:f>
      </x:c>
      <x:c r="I578" s="88" t="str">
        <x:f>IF(C578="","",MAX(0,ROUND(D578+E578-F578-G578-H578,2)))</x:f>
      </x:c>
      <x:c r="J578" s="88" t="str">
        <x:f>IF(C578="","",F578+G578+H578)</x:f>
      </x:c>
      <x:c r="K578" s="88" t="str">
        <x:f>IF(C578="","",MAX(0,SUMIFS(SONDERZAHLUNGEN!$E$9:$E$128,SONDERZAHLUNGEN!$B$9:$B$128,C578,SONDERZAHLUNGEN!$C$9:$C$128,A578,SONDERZAHLUNGEN!$H$9:$H$128,"OK",SONDERZAHLUNGEN!$F$9:$F$128,"Ja")-G578))</x:f>
      </x:c>
    </x:row>
    <x:row r="579" ht="19" customHeight="1">
      <x:c r="A579" s="90" t="n">
        <x:f>MONATSBUDGET!$A$35</x:f>
        <x:v>47058</x:v>
      </x:c>
      <x:c r="B579" t="n">
        <x:f>20</x:f>
        <x:v>20</x:v>
      </x:c>
      <x:c r="C579" t="str">
        <x:f>IF($N$28="","",$N$28)</x:f>
      </x:c>
      <x:c r="D579" s="88" t="str">
        <x:f>IF(C579="","",I559)</x:f>
      </x:c>
      <x:c r="E579" s="88" t="str">
        <x:f>IF(C579="","",ROUND(D579*$P$28/12,2))</x:f>
      </x:c>
      <x:c r="F579" s="88" t="str">
        <x:f>IF(C579="","",MIN(D579+E579,$Q$28))</x:f>
      </x:c>
      <x:c r="G579" s="88" t="str">
        <x:f>IF(C579="","",MIN(MAX(0,D579+E579-F579),SUMIFS(SONDERZAHLUNGEN!$E$9:$E$128,SONDERZAHLUNGEN!$B$9:$B$128,C579,SONDERZAHLUNGEN!$C$9:$C$128,A579,SONDERZAHLUNGEN!$H$9:$H$128,"OK",SONDERZAHLUNGEN!$F$9:$F$128,"Ja")))</x:f>
      </x:c>
      <x:c r="H579" s="88" t="str">
        <x:f>IF(C579="","",MIN(MAX(0,D579+E579-F579-G579),MAX(0,IF(MONATSBUDGET!$C$35="",0,MONATSBUDGET!$C$35)-SUM(F560:F579)-SUM(H560:H578))))</x:f>
      </x:c>
      <x:c r="I579" s="88" t="str">
        <x:f>IF(C579="","",MAX(0,ROUND(D579+E579-F579-G579-H579,2)))</x:f>
      </x:c>
      <x:c r="J579" s="88" t="str">
        <x:f>IF(C579="","",F579+G579+H579)</x:f>
      </x:c>
      <x:c r="K579" s="88" t="str">
        <x:f>IF(C579="","",MAX(0,SUMIFS(SONDERZAHLUNGEN!$E$9:$E$128,SONDERZAHLUNGEN!$B$9:$B$128,C579,SONDERZAHLUNGEN!$C$9:$C$128,A579,SONDERZAHLUNGEN!$H$9:$H$128,"OK",SONDERZAHLUNGEN!$F$9:$F$128,"Ja")-G579))</x:f>
      </x:c>
    </x:row>
    <x:row r="580" ht="19" customHeight="1">
      <x:c r="A580" s="90" t="n">
        <x:f>MONATSBUDGET!$A$36</x:f>
        <x:v>47088</x:v>
      </x:c>
      <x:c r="B580" t="n">
        <x:f>1</x:f>
        <x:v>1</x:v>
      </x:c>
      <x:c r="C580" t="str">
        <x:f>IF($N$9="","",$N$9)</x:f>
      </x:c>
      <x:c r="D580" s="88" t="str">
        <x:f>IF(C580="","",I560)</x:f>
      </x:c>
      <x:c r="E580" s="88" t="str">
        <x:f>IF(C580="","",ROUND(D580*$P$9/12,2))</x:f>
      </x:c>
      <x:c r="F580" s="88" t="str">
        <x:f>IF(C580="","",MIN(D580+E580,$Q$9))</x:f>
      </x:c>
      <x:c r="G580" s="88" t="str">
        <x:f>IF(C580="","",MIN(MAX(0,D580+E580-F580),SUMIFS(SONDERZAHLUNGEN!$E$9:$E$128,SONDERZAHLUNGEN!$B$9:$B$128,C580,SONDERZAHLUNGEN!$C$9:$C$128,A580,SONDERZAHLUNGEN!$H$9:$H$128,"OK",SONDERZAHLUNGEN!$F$9:$F$128,"Ja")))</x:f>
      </x:c>
      <x:c r="H580" s="88" t="str">
        <x:f>IF(C580="","",MIN(MAX(0,D580+E580-F580-G580),MAX(0,IF(MONATSBUDGET!$C$36="",0,MONATSBUDGET!$C$36)-SUM(F580:F599)-0)))</x:f>
      </x:c>
      <x:c r="I580" s="88" t="str">
        <x:f>IF(C580="","",MAX(0,ROUND(D580+E580-F580-G580-H580,2)))</x:f>
      </x:c>
      <x:c r="J580" s="88" t="str">
        <x:f>IF(C580="","",F580+G580+H580)</x:f>
      </x:c>
      <x:c r="K580" s="88" t="str">
        <x:f>IF(C580="","",MAX(0,SUMIFS(SONDERZAHLUNGEN!$E$9:$E$128,SONDERZAHLUNGEN!$B$9:$B$128,C580,SONDERZAHLUNGEN!$C$9:$C$128,A580,SONDERZAHLUNGEN!$H$9:$H$128,"OK",SONDERZAHLUNGEN!$F$9:$F$128,"Ja")-G580))</x:f>
      </x:c>
    </x:row>
    <x:row r="581" ht="19" customHeight="1">
      <x:c r="A581" s="90" t="n">
        <x:f>MONATSBUDGET!$A$36</x:f>
        <x:v>47088</x:v>
      </x:c>
      <x:c r="B581" t="n">
        <x:f>2</x:f>
        <x:v>2</x:v>
      </x:c>
      <x:c r="C581" t="str">
        <x:f>IF($N$10="","",$N$10)</x:f>
      </x:c>
      <x:c r="D581" s="88" t="str">
        <x:f>IF(C581="","",I561)</x:f>
      </x:c>
      <x:c r="E581" s="88" t="str">
        <x:f>IF(C581="","",ROUND(D581*$P$10/12,2))</x:f>
      </x:c>
      <x:c r="F581" s="88" t="str">
        <x:f>IF(C581="","",MIN(D581+E581,$Q$10))</x:f>
      </x:c>
      <x:c r="G581" s="88" t="str">
        <x:f>IF(C581="","",MIN(MAX(0,D581+E581-F581),SUMIFS(SONDERZAHLUNGEN!$E$9:$E$128,SONDERZAHLUNGEN!$B$9:$B$128,C581,SONDERZAHLUNGEN!$C$9:$C$128,A581,SONDERZAHLUNGEN!$H$9:$H$128,"OK",SONDERZAHLUNGEN!$F$9:$F$128,"Ja")))</x:f>
      </x:c>
      <x:c r="H581" s="88" t="str">
        <x:f>IF(C581="","",MIN(MAX(0,D581+E581-F581-G581),MAX(0,IF(MONATSBUDGET!$C$36="",0,MONATSBUDGET!$C$36)-SUM(F580:F599)-SUM(H580:H580))))</x:f>
      </x:c>
      <x:c r="I581" s="88" t="str">
        <x:f>IF(C581="","",MAX(0,ROUND(D581+E581-F581-G581-H581,2)))</x:f>
      </x:c>
      <x:c r="J581" s="88" t="str">
        <x:f>IF(C581="","",F581+G581+H581)</x:f>
      </x:c>
      <x:c r="K581" s="88" t="str">
        <x:f>IF(C581="","",MAX(0,SUMIFS(SONDERZAHLUNGEN!$E$9:$E$128,SONDERZAHLUNGEN!$B$9:$B$128,C581,SONDERZAHLUNGEN!$C$9:$C$128,A581,SONDERZAHLUNGEN!$H$9:$H$128,"OK",SONDERZAHLUNGEN!$F$9:$F$128,"Ja")-G581))</x:f>
      </x:c>
    </x:row>
    <x:row r="582" ht="19" customHeight="1">
      <x:c r="A582" s="90" t="n">
        <x:f>MONATSBUDGET!$A$36</x:f>
        <x:v>47088</x:v>
      </x:c>
      <x:c r="B582" t="n">
        <x:f>3</x:f>
        <x:v>3</x:v>
      </x:c>
      <x:c r="C582" t="str">
        <x:f>IF($N$11="","",$N$11)</x:f>
      </x:c>
      <x:c r="D582" s="88" t="str">
        <x:f>IF(C582="","",I562)</x:f>
      </x:c>
      <x:c r="E582" s="88" t="str">
        <x:f>IF(C582="","",ROUND(D582*$P$11/12,2))</x:f>
      </x:c>
      <x:c r="F582" s="88" t="str">
        <x:f>IF(C582="","",MIN(D582+E582,$Q$11))</x:f>
      </x:c>
      <x:c r="G582" s="88" t="str">
        <x:f>IF(C582="","",MIN(MAX(0,D582+E582-F582),SUMIFS(SONDERZAHLUNGEN!$E$9:$E$128,SONDERZAHLUNGEN!$B$9:$B$128,C582,SONDERZAHLUNGEN!$C$9:$C$128,A582,SONDERZAHLUNGEN!$H$9:$H$128,"OK",SONDERZAHLUNGEN!$F$9:$F$128,"Ja")))</x:f>
      </x:c>
      <x:c r="H582" s="88" t="str">
        <x:f>IF(C582="","",MIN(MAX(0,D582+E582-F582-G582),MAX(0,IF(MONATSBUDGET!$C$36="",0,MONATSBUDGET!$C$36)-SUM(F580:F599)-SUM(H580:H581))))</x:f>
      </x:c>
      <x:c r="I582" s="88" t="str">
        <x:f>IF(C582="","",MAX(0,ROUND(D582+E582-F582-G582-H582,2)))</x:f>
      </x:c>
      <x:c r="J582" s="88" t="str">
        <x:f>IF(C582="","",F582+G582+H582)</x:f>
      </x:c>
      <x:c r="K582" s="88" t="str">
        <x:f>IF(C582="","",MAX(0,SUMIFS(SONDERZAHLUNGEN!$E$9:$E$128,SONDERZAHLUNGEN!$B$9:$B$128,C582,SONDERZAHLUNGEN!$C$9:$C$128,A582,SONDERZAHLUNGEN!$H$9:$H$128,"OK",SONDERZAHLUNGEN!$F$9:$F$128,"Ja")-G582))</x:f>
      </x:c>
    </x:row>
    <x:row r="583" ht="19" customHeight="1">
      <x:c r="A583" s="90" t="n">
        <x:f>MONATSBUDGET!$A$36</x:f>
        <x:v>47088</x:v>
      </x:c>
      <x:c r="B583" t="n">
        <x:f>4</x:f>
        <x:v>4</x:v>
      </x:c>
      <x:c r="C583" t="str">
        <x:f>IF($N$12="","",$N$12)</x:f>
      </x:c>
      <x:c r="D583" s="88" t="str">
        <x:f>IF(C583="","",I563)</x:f>
      </x:c>
      <x:c r="E583" s="88" t="str">
        <x:f>IF(C583="","",ROUND(D583*$P$12/12,2))</x:f>
      </x:c>
      <x:c r="F583" s="88" t="str">
        <x:f>IF(C583="","",MIN(D583+E583,$Q$12))</x:f>
      </x:c>
      <x:c r="G583" s="88" t="str">
        <x:f>IF(C583="","",MIN(MAX(0,D583+E583-F583),SUMIFS(SONDERZAHLUNGEN!$E$9:$E$128,SONDERZAHLUNGEN!$B$9:$B$128,C583,SONDERZAHLUNGEN!$C$9:$C$128,A583,SONDERZAHLUNGEN!$H$9:$H$128,"OK",SONDERZAHLUNGEN!$F$9:$F$128,"Ja")))</x:f>
      </x:c>
      <x:c r="H583" s="88" t="str">
        <x:f>IF(C583="","",MIN(MAX(0,D583+E583-F583-G583),MAX(0,IF(MONATSBUDGET!$C$36="",0,MONATSBUDGET!$C$36)-SUM(F580:F599)-SUM(H580:H582))))</x:f>
      </x:c>
      <x:c r="I583" s="88" t="str">
        <x:f>IF(C583="","",MAX(0,ROUND(D583+E583-F583-G583-H583,2)))</x:f>
      </x:c>
      <x:c r="J583" s="88" t="str">
        <x:f>IF(C583="","",F583+G583+H583)</x:f>
      </x:c>
      <x:c r="K583" s="88" t="str">
        <x:f>IF(C583="","",MAX(0,SUMIFS(SONDERZAHLUNGEN!$E$9:$E$128,SONDERZAHLUNGEN!$B$9:$B$128,C583,SONDERZAHLUNGEN!$C$9:$C$128,A583,SONDERZAHLUNGEN!$H$9:$H$128,"OK",SONDERZAHLUNGEN!$F$9:$F$128,"Ja")-G583))</x:f>
      </x:c>
    </x:row>
    <x:row r="584" ht="19" customHeight="1">
      <x:c r="A584" s="90" t="n">
        <x:f>MONATSBUDGET!$A$36</x:f>
        <x:v>47088</x:v>
      </x:c>
      <x:c r="B584" t="n">
        <x:f>5</x:f>
        <x:v>5</x:v>
      </x:c>
      <x:c r="C584" t="str">
        <x:f>IF($N$13="","",$N$13)</x:f>
      </x:c>
      <x:c r="D584" s="88" t="str">
        <x:f>IF(C584="","",I564)</x:f>
      </x:c>
      <x:c r="E584" s="88" t="str">
        <x:f>IF(C584="","",ROUND(D584*$P$13/12,2))</x:f>
      </x:c>
      <x:c r="F584" s="88" t="str">
        <x:f>IF(C584="","",MIN(D584+E584,$Q$13))</x:f>
      </x:c>
      <x:c r="G584" s="88" t="str">
        <x:f>IF(C584="","",MIN(MAX(0,D584+E584-F584),SUMIFS(SONDERZAHLUNGEN!$E$9:$E$128,SONDERZAHLUNGEN!$B$9:$B$128,C584,SONDERZAHLUNGEN!$C$9:$C$128,A584,SONDERZAHLUNGEN!$H$9:$H$128,"OK",SONDERZAHLUNGEN!$F$9:$F$128,"Ja")))</x:f>
      </x:c>
      <x:c r="H584" s="88" t="str">
        <x:f>IF(C584="","",MIN(MAX(0,D584+E584-F584-G584),MAX(0,IF(MONATSBUDGET!$C$36="",0,MONATSBUDGET!$C$36)-SUM(F580:F599)-SUM(H580:H583))))</x:f>
      </x:c>
      <x:c r="I584" s="88" t="str">
        <x:f>IF(C584="","",MAX(0,ROUND(D584+E584-F584-G584-H584,2)))</x:f>
      </x:c>
      <x:c r="J584" s="88" t="str">
        <x:f>IF(C584="","",F584+G584+H584)</x:f>
      </x:c>
      <x:c r="K584" s="88" t="str">
        <x:f>IF(C584="","",MAX(0,SUMIFS(SONDERZAHLUNGEN!$E$9:$E$128,SONDERZAHLUNGEN!$B$9:$B$128,C584,SONDERZAHLUNGEN!$C$9:$C$128,A584,SONDERZAHLUNGEN!$H$9:$H$128,"OK",SONDERZAHLUNGEN!$F$9:$F$128,"Ja")-G584))</x:f>
      </x:c>
    </x:row>
    <x:row r="585" ht="19" customHeight="1">
      <x:c r="A585" s="90" t="n">
        <x:f>MONATSBUDGET!$A$36</x:f>
        <x:v>47088</x:v>
      </x:c>
      <x:c r="B585" t="n">
        <x:f>6</x:f>
        <x:v>6</x:v>
      </x:c>
      <x:c r="C585" t="str">
        <x:f>IF($N$14="","",$N$14)</x:f>
      </x:c>
      <x:c r="D585" s="88" t="str">
        <x:f>IF(C585="","",I565)</x:f>
      </x:c>
      <x:c r="E585" s="88" t="str">
        <x:f>IF(C585="","",ROUND(D585*$P$14/12,2))</x:f>
      </x:c>
      <x:c r="F585" s="88" t="str">
        <x:f>IF(C585="","",MIN(D585+E585,$Q$14))</x:f>
      </x:c>
      <x:c r="G585" s="88" t="str">
        <x:f>IF(C585="","",MIN(MAX(0,D585+E585-F585),SUMIFS(SONDERZAHLUNGEN!$E$9:$E$128,SONDERZAHLUNGEN!$B$9:$B$128,C585,SONDERZAHLUNGEN!$C$9:$C$128,A585,SONDERZAHLUNGEN!$H$9:$H$128,"OK",SONDERZAHLUNGEN!$F$9:$F$128,"Ja")))</x:f>
      </x:c>
      <x:c r="H585" s="88" t="str">
        <x:f>IF(C585="","",MIN(MAX(0,D585+E585-F585-G585),MAX(0,IF(MONATSBUDGET!$C$36="",0,MONATSBUDGET!$C$36)-SUM(F580:F599)-SUM(H580:H584))))</x:f>
      </x:c>
      <x:c r="I585" s="88" t="str">
        <x:f>IF(C585="","",MAX(0,ROUND(D585+E585-F585-G585-H585,2)))</x:f>
      </x:c>
      <x:c r="J585" s="88" t="str">
        <x:f>IF(C585="","",F585+G585+H585)</x:f>
      </x:c>
      <x:c r="K585" s="88" t="str">
        <x:f>IF(C585="","",MAX(0,SUMIFS(SONDERZAHLUNGEN!$E$9:$E$128,SONDERZAHLUNGEN!$B$9:$B$128,C585,SONDERZAHLUNGEN!$C$9:$C$128,A585,SONDERZAHLUNGEN!$H$9:$H$128,"OK",SONDERZAHLUNGEN!$F$9:$F$128,"Ja")-G585))</x:f>
      </x:c>
    </x:row>
    <x:row r="586" ht="19" customHeight="1">
      <x:c r="A586" s="90" t="n">
        <x:f>MONATSBUDGET!$A$36</x:f>
        <x:v>47088</x:v>
      </x:c>
      <x:c r="B586" t="n">
        <x:f>7</x:f>
        <x:v>7</x:v>
      </x:c>
      <x:c r="C586" t="str">
        <x:f>IF($N$15="","",$N$15)</x:f>
      </x:c>
      <x:c r="D586" s="88" t="str">
        <x:f>IF(C586="","",I566)</x:f>
      </x:c>
      <x:c r="E586" s="88" t="str">
        <x:f>IF(C586="","",ROUND(D586*$P$15/12,2))</x:f>
      </x:c>
      <x:c r="F586" s="88" t="str">
        <x:f>IF(C586="","",MIN(D586+E586,$Q$15))</x:f>
      </x:c>
      <x:c r="G586" s="88" t="str">
        <x:f>IF(C586="","",MIN(MAX(0,D586+E586-F586),SUMIFS(SONDERZAHLUNGEN!$E$9:$E$128,SONDERZAHLUNGEN!$B$9:$B$128,C586,SONDERZAHLUNGEN!$C$9:$C$128,A586,SONDERZAHLUNGEN!$H$9:$H$128,"OK",SONDERZAHLUNGEN!$F$9:$F$128,"Ja")))</x:f>
      </x:c>
      <x:c r="H586" s="88" t="str">
        <x:f>IF(C586="","",MIN(MAX(0,D586+E586-F586-G586),MAX(0,IF(MONATSBUDGET!$C$36="",0,MONATSBUDGET!$C$36)-SUM(F580:F599)-SUM(H580:H585))))</x:f>
      </x:c>
      <x:c r="I586" s="88" t="str">
        <x:f>IF(C586="","",MAX(0,ROUND(D586+E586-F586-G586-H586,2)))</x:f>
      </x:c>
      <x:c r="J586" s="88" t="str">
        <x:f>IF(C586="","",F586+G586+H586)</x:f>
      </x:c>
      <x:c r="K586" s="88" t="str">
        <x:f>IF(C586="","",MAX(0,SUMIFS(SONDERZAHLUNGEN!$E$9:$E$128,SONDERZAHLUNGEN!$B$9:$B$128,C586,SONDERZAHLUNGEN!$C$9:$C$128,A586,SONDERZAHLUNGEN!$H$9:$H$128,"OK",SONDERZAHLUNGEN!$F$9:$F$128,"Ja")-G586))</x:f>
      </x:c>
    </x:row>
    <x:row r="587" ht="19" customHeight="1">
      <x:c r="A587" s="90" t="n">
        <x:f>MONATSBUDGET!$A$36</x:f>
        <x:v>47088</x:v>
      </x:c>
      <x:c r="B587" t="n">
        <x:f>8</x:f>
        <x:v>8</x:v>
      </x:c>
      <x:c r="C587" t="str">
        <x:f>IF($N$16="","",$N$16)</x:f>
      </x:c>
      <x:c r="D587" s="88" t="str">
        <x:f>IF(C587="","",I567)</x:f>
      </x:c>
      <x:c r="E587" s="88" t="str">
        <x:f>IF(C587="","",ROUND(D587*$P$16/12,2))</x:f>
      </x:c>
      <x:c r="F587" s="88" t="str">
        <x:f>IF(C587="","",MIN(D587+E587,$Q$16))</x:f>
      </x:c>
      <x:c r="G587" s="88" t="str">
        <x:f>IF(C587="","",MIN(MAX(0,D587+E587-F587),SUMIFS(SONDERZAHLUNGEN!$E$9:$E$128,SONDERZAHLUNGEN!$B$9:$B$128,C587,SONDERZAHLUNGEN!$C$9:$C$128,A587,SONDERZAHLUNGEN!$H$9:$H$128,"OK",SONDERZAHLUNGEN!$F$9:$F$128,"Ja")))</x:f>
      </x:c>
      <x:c r="H587" s="88" t="str">
        <x:f>IF(C587="","",MIN(MAX(0,D587+E587-F587-G587),MAX(0,IF(MONATSBUDGET!$C$36="",0,MONATSBUDGET!$C$36)-SUM(F580:F599)-SUM(H580:H586))))</x:f>
      </x:c>
      <x:c r="I587" s="88" t="str">
        <x:f>IF(C587="","",MAX(0,ROUND(D587+E587-F587-G587-H587,2)))</x:f>
      </x:c>
      <x:c r="J587" s="88" t="str">
        <x:f>IF(C587="","",F587+G587+H587)</x:f>
      </x:c>
      <x:c r="K587" s="88" t="str">
        <x:f>IF(C587="","",MAX(0,SUMIFS(SONDERZAHLUNGEN!$E$9:$E$128,SONDERZAHLUNGEN!$B$9:$B$128,C587,SONDERZAHLUNGEN!$C$9:$C$128,A587,SONDERZAHLUNGEN!$H$9:$H$128,"OK",SONDERZAHLUNGEN!$F$9:$F$128,"Ja")-G587))</x:f>
      </x:c>
    </x:row>
    <x:row r="588" ht="19" customHeight="1">
      <x:c r="A588" s="90" t="n">
        <x:f>MONATSBUDGET!$A$36</x:f>
        <x:v>47088</x:v>
      </x:c>
      <x:c r="B588" t="n">
        <x:f>9</x:f>
        <x:v>9</x:v>
      </x:c>
      <x:c r="C588" t="str">
        <x:f>IF($N$17="","",$N$17)</x:f>
      </x:c>
      <x:c r="D588" s="88" t="str">
        <x:f>IF(C588="","",I568)</x:f>
      </x:c>
      <x:c r="E588" s="88" t="str">
        <x:f>IF(C588="","",ROUND(D588*$P$17/12,2))</x:f>
      </x:c>
      <x:c r="F588" s="88" t="str">
        <x:f>IF(C588="","",MIN(D588+E588,$Q$17))</x:f>
      </x:c>
      <x:c r="G588" s="88" t="str">
        <x:f>IF(C588="","",MIN(MAX(0,D588+E588-F588),SUMIFS(SONDERZAHLUNGEN!$E$9:$E$128,SONDERZAHLUNGEN!$B$9:$B$128,C588,SONDERZAHLUNGEN!$C$9:$C$128,A588,SONDERZAHLUNGEN!$H$9:$H$128,"OK",SONDERZAHLUNGEN!$F$9:$F$128,"Ja")))</x:f>
      </x:c>
      <x:c r="H588" s="88" t="str">
        <x:f>IF(C588="","",MIN(MAX(0,D588+E588-F588-G588),MAX(0,IF(MONATSBUDGET!$C$36="",0,MONATSBUDGET!$C$36)-SUM(F580:F599)-SUM(H580:H587))))</x:f>
      </x:c>
      <x:c r="I588" s="88" t="str">
        <x:f>IF(C588="","",MAX(0,ROUND(D588+E588-F588-G588-H588,2)))</x:f>
      </x:c>
      <x:c r="J588" s="88" t="str">
        <x:f>IF(C588="","",F588+G588+H588)</x:f>
      </x:c>
      <x:c r="K588" s="88" t="str">
        <x:f>IF(C588="","",MAX(0,SUMIFS(SONDERZAHLUNGEN!$E$9:$E$128,SONDERZAHLUNGEN!$B$9:$B$128,C588,SONDERZAHLUNGEN!$C$9:$C$128,A588,SONDERZAHLUNGEN!$H$9:$H$128,"OK",SONDERZAHLUNGEN!$F$9:$F$128,"Ja")-G588))</x:f>
      </x:c>
    </x:row>
    <x:row r="589" ht="19" customHeight="1">
      <x:c r="A589" s="90" t="n">
        <x:f>MONATSBUDGET!$A$36</x:f>
        <x:v>47088</x:v>
      </x:c>
      <x:c r="B589" t="n">
        <x:f>10</x:f>
        <x:v>10</x:v>
      </x:c>
      <x:c r="C589" t="str">
        <x:f>IF($N$18="","",$N$18)</x:f>
      </x:c>
      <x:c r="D589" s="88" t="str">
        <x:f>IF(C589="","",I569)</x:f>
      </x:c>
      <x:c r="E589" s="88" t="str">
        <x:f>IF(C589="","",ROUND(D589*$P$18/12,2))</x:f>
      </x:c>
      <x:c r="F589" s="88" t="str">
        <x:f>IF(C589="","",MIN(D589+E589,$Q$18))</x:f>
      </x:c>
      <x:c r="G589" s="88" t="str">
        <x:f>IF(C589="","",MIN(MAX(0,D589+E589-F589),SUMIFS(SONDERZAHLUNGEN!$E$9:$E$128,SONDERZAHLUNGEN!$B$9:$B$128,C589,SONDERZAHLUNGEN!$C$9:$C$128,A589,SONDERZAHLUNGEN!$H$9:$H$128,"OK",SONDERZAHLUNGEN!$F$9:$F$128,"Ja")))</x:f>
      </x:c>
      <x:c r="H589" s="88" t="str">
        <x:f>IF(C589="","",MIN(MAX(0,D589+E589-F589-G589),MAX(0,IF(MONATSBUDGET!$C$36="",0,MONATSBUDGET!$C$36)-SUM(F580:F599)-SUM(H580:H588))))</x:f>
      </x:c>
      <x:c r="I589" s="88" t="str">
        <x:f>IF(C589="","",MAX(0,ROUND(D589+E589-F589-G589-H589,2)))</x:f>
      </x:c>
      <x:c r="J589" s="88" t="str">
        <x:f>IF(C589="","",F589+G589+H589)</x:f>
      </x:c>
      <x:c r="K589" s="88" t="str">
        <x:f>IF(C589="","",MAX(0,SUMIFS(SONDERZAHLUNGEN!$E$9:$E$128,SONDERZAHLUNGEN!$B$9:$B$128,C589,SONDERZAHLUNGEN!$C$9:$C$128,A589,SONDERZAHLUNGEN!$H$9:$H$128,"OK",SONDERZAHLUNGEN!$F$9:$F$128,"Ja")-G589))</x:f>
      </x:c>
    </x:row>
    <x:row r="590" ht="19" customHeight="1">
      <x:c r="A590" s="90" t="n">
        <x:f>MONATSBUDGET!$A$36</x:f>
        <x:v>47088</x:v>
      </x:c>
      <x:c r="B590" t="n">
        <x:f>11</x:f>
        <x:v>11</x:v>
      </x:c>
      <x:c r="C590" t="str">
        <x:f>IF($N$19="","",$N$19)</x:f>
      </x:c>
      <x:c r="D590" s="88" t="str">
        <x:f>IF(C590="","",I570)</x:f>
      </x:c>
      <x:c r="E590" s="88" t="str">
        <x:f>IF(C590="","",ROUND(D590*$P$19/12,2))</x:f>
      </x:c>
      <x:c r="F590" s="88" t="str">
        <x:f>IF(C590="","",MIN(D590+E590,$Q$19))</x:f>
      </x:c>
      <x:c r="G590" s="88" t="str">
        <x:f>IF(C590="","",MIN(MAX(0,D590+E590-F590),SUMIFS(SONDERZAHLUNGEN!$E$9:$E$128,SONDERZAHLUNGEN!$B$9:$B$128,C590,SONDERZAHLUNGEN!$C$9:$C$128,A590,SONDERZAHLUNGEN!$H$9:$H$128,"OK",SONDERZAHLUNGEN!$F$9:$F$128,"Ja")))</x:f>
      </x:c>
      <x:c r="H590" s="88" t="str">
        <x:f>IF(C590="","",MIN(MAX(0,D590+E590-F590-G590),MAX(0,IF(MONATSBUDGET!$C$36="",0,MONATSBUDGET!$C$36)-SUM(F580:F599)-SUM(H580:H589))))</x:f>
      </x:c>
      <x:c r="I590" s="88" t="str">
        <x:f>IF(C590="","",MAX(0,ROUND(D590+E590-F590-G590-H590,2)))</x:f>
      </x:c>
      <x:c r="J590" s="88" t="str">
        <x:f>IF(C590="","",F590+G590+H590)</x:f>
      </x:c>
      <x:c r="K590" s="88" t="str">
        <x:f>IF(C590="","",MAX(0,SUMIFS(SONDERZAHLUNGEN!$E$9:$E$128,SONDERZAHLUNGEN!$B$9:$B$128,C590,SONDERZAHLUNGEN!$C$9:$C$128,A590,SONDERZAHLUNGEN!$H$9:$H$128,"OK",SONDERZAHLUNGEN!$F$9:$F$128,"Ja")-G590))</x:f>
      </x:c>
    </x:row>
    <x:row r="591" ht="19" customHeight="1">
      <x:c r="A591" s="90" t="n">
        <x:f>MONATSBUDGET!$A$36</x:f>
        <x:v>47088</x:v>
      </x:c>
      <x:c r="B591" t="n">
        <x:f>12</x:f>
        <x:v>12</x:v>
      </x:c>
      <x:c r="C591" t="str">
        <x:f>IF($N$20="","",$N$20)</x:f>
      </x:c>
      <x:c r="D591" s="88" t="str">
        <x:f>IF(C591="","",I571)</x:f>
      </x:c>
      <x:c r="E591" s="88" t="str">
        <x:f>IF(C591="","",ROUND(D591*$P$20/12,2))</x:f>
      </x:c>
      <x:c r="F591" s="88" t="str">
        <x:f>IF(C591="","",MIN(D591+E591,$Q$20))</x:f>
      </x:c>
      <x:c r="G591" s="88" t="str">
        <x:f>IF(C591="","",MIN(MAX(0,D591+E591-F591),SUMIFS(SONDERZAHLUNGEN!$E$9:$E$128,SONDERZAHLUNGEN!$B$9:$B$128,C591,SONDERZAHLUNGEN!$C$9:$C$128,A591,SONDERZAHLUNGEN!$H$9:$H$128,"OK",SONDERZAHLUNGEN!$F$9:$F$128,"Ja")))</x:f>
      </x:c>
      <x:c r="H591" s="88" t="str">
        <x:f>IF(C591="","",MIN(MAX(0,D591+E591-F591-G591),MAX(0,IF(MONATSBUDGET!$C$36="",0,MONATSBUDGET!$C$36)-SUM(F580:F599)-SUM(H580:H590))))</x:f>
      </x:c>
      <x:c r="I591" s="88" t="str">
        <x:f>IF(C591="","",MAX(0,ROUND(D591+E591-F591-G591-H591,2)))</x:f>
      </x:c>
      <x:c r="J591" s="88" t="str">
        <x:f>IF(C591="","",F591+G591+H591)</x:f>
      </x:c>
      <x:c r="K591" s="88" t="str">
        <x:f>IF(C591="","",MAX(0,SUMIFS(SONDERZAHLUNGEN!$E$9:$E$128,SONDERZAHLUNGEN!$B$9:$B$128,C591,SONDERZAHLUNGEN!$C$9:$C$128,A591,SONDERZAHLUNGEN!$H$9:$H$128,"OK",SONDERZAHLUNGEN!$F$9:$F$128,"Ja")-G591))</x:f>
      </x:c>
    </x:row>
    <x:row r="592" ht="19" customHeight="1">
      <x:c r="A592" s="90" t="n">
        <x:f>MONATSBUDGET!$A$36</x:f>
        <x:v>47088</x:v>
      </x:c>
      <x:c r="B592" t="n">
        <x:f>13</x:f>
        <x:v>13</x:v>
      </x:c>
      <x:c r="C592" t="str">
        <x:f>IF($N$21="","",$N$21)</x:f>
      </x:c>
      <x:c r="D592" s="88" t="str">
        <x:f>IF(C592="","",I572)</x:f>
      </x:c>
      <x:c r="E592" s="88" t="str">
        <x:f>IF(C592="","",ROUND(D592*$P$21/12,2))</x:f>
      </x:c>
      <x:c r="F592" s="88" t="str">
        <x:f>IF(C592="","",MIN(D592+E592,$Q$21))</x:f>
      </x:c>
      <x:c r="G592" s="88" t="str">
        <x:f>IF(C592="","",MIN(MAX(0,D592+E592-F592),SUMIFS(SONDERZAHLUNGEN!$E$9:$E$128,SONDERZAHLUNGEN!$B$9:$B$128,C592,SONDERZAHLUNGEN!$C$9:$C$128,A592,SONDERZAHLUNGEN!$H$9:$H$128,"OK",SONDERZAHLUNGEN!$F$9:$F$128,"Ja")))</x:f>
      </x:c>
      <x:c r="H592" s="88" t="str">
        <x:f>IF(C592="","",MIN(MAX(0,D592+E592-F592-G592),MAX(0,IF(MONATSBUDGET!$C$36="",0,MONATSBUDGET!$C$36)-SUM(F580:F599)-SUM(H580:H591))))</x:f>
      </x:c>
      <x:c r="I592" s="88" t="str">
        <x:f>IF(C592="","",MAX(0,ROUND(D592+E592-F592-G592-H592,2)))</x:f>
      </x:c>
      <x:c r="J592" s="88" t="str">
        <x:f>IF(C592="","",F592+G592+H592)</x:f>
      </x:c>
      <x:c r="K592" s="88" t="str">
        <x:f>IF(C592="","",MAX(0,SUMIFS(SONDERZAHLUNGEN!$E$9:$E$128,SONDERZAHLUNGEN!$B$9:$B$128,C592,SONDERZAHLUNGEN!$C$9:$C$128,A592,SONDERZAHLUNGEN!$H$9:$H$128,"OK",SONDERZAHLUNGEN!$F$9:$F$128,"Ja")-G592))</x:f>
      </x:c>
    </x:row>
    <x:row r="593" ht="19" customHeight="1">
      <x:c r="A593" s="90" t="n">
        <x:f>MONATSBUDGET!$A$36</x:f>
        <x:v>47088</x:v>
      </x:c>
      <x:c r="B593" t="n">
        <x:f>14</x:f>
        <x:v>14</x:v>
      </x:c>
      <x:c r="C593" t="str">
        <x:f>IF($N$22="","",$N$22)</x:f>
      </x:c>
      <x:c r="D593" s="88" t="str">
        <x:f>IF(C593="","",I573)</x:f>
      </x:c>
      <x:c r="E593" s="88" t="str">
        <x:f>IF(C593="","",ROUND(D593*$P$22/12,2))</x:f>
      </x:c>
      <x:c r="F593" s="88" t="str">
        <x:f>IF(C593="","",MIN(D593+E593,$Q$22))</x:f>
      </x:c>
      <x:c r="G593" s="88" t="str">
        <x:f>IF(C593="","",MIN(MAX(0,D593+E593-F593),SUMIFS(SONDERZAHLUNGEN!$E$9:$E$128,SONDERZAHLUNGEN!$B$9:$B$128,C593,SONDERZAHLUNGEN!$C$9:$C$128,A593,SONDERZAHLUNGEN!$H$9:$H$128,"OK",SONDERZAHLUNGEN!$F$9:$F$128,"Ja")))</x:f>
      </x:c>
      <x:c r="H593" s="88" t="str">
        <x:f>IF(C593="","",MIN(MAX(0,D593+E593-F593-G593),MAX(0,IF(MONATSBUDGET!$C$36="",0,MONATSBUDGET!$C$36)-SUM(F580:F599)-SUM(H580:H592))))</x:f>
      </x:c>
      <x:c r="I593" s="88" t="str">
        <x:f>IF(C593="","",MAX(0,ROUND(D593+E593-F593-G593-H593,2)))</x:f>
      </x:c>
      <x:c r="J593" s="88" t="str">
        <x:f>IF(C593="","",F593+G593+H593)</x:f>
      </x:c>
      <x:c r="K593" s="88" t="str">
        <x:f>IF(C593="","",MAX(0,SUMIFS(SONDERZAHLUNGEN!$E$9:$E$128,SONDERZAHLUNGEN!$B$9:$B$128,C593,SONDERZAHLUNGEN!$C$9:$C$128,A593,SONDERZAHLUNGEN!$H$9:$H$128,"OK",SONDERZAHLUNGEN!$F$9:$F$128,"Ja")-G593))</x:f>
      </x:c>
    </x:row>
    <x:row r="594" ht="19" customHeight="1">
      <x:c r="A594" s="90" t="n">
        <x:f>MONATSBUDGET!$A$36</x:f>
        <x:v>47088</x:v>
      </x:c>
      <x:c r="B594" t="n">
        <x:f>15</x:f>
        <x:v>15</x:v>
      </x:c>
      <x:c r="C594" t="str">
        <x:f>IF($N$23="","",$N$23)</x:f>
      </x:c>
      <x:c r="D594" s="88" t="str">
        <x:f>IF(C594="","",I574)</x:f>
      </x:c>
      <x:c r="E594" s="88" t="str">
        <x:f>IF(C594="","",ROUND(D594*$P$23/12,2))</x:f>
      </x:c>
      <x:c r="F594" s="88" t="str">
        <x:f>IF(C594="","",MIN(D594+E594,$Q$23))</x:f>
      </x:c>
      <x:c r="G594" s="88" t="str">
        <x:f>IF(C594="","",MIN(MAX(0,D594+E594-F594),SUMIFS(SONDERZAHLUNGEN!$E$9:$E$128,SONDERZAHLUNGEN!$B$9:$B$128,C594,SONDERZAHLUNGEN!$C$9:$C$128,A594,SONDERZAHLUNGEN!$H$9:$H$128,"OK",SONDERZAHLUNGEN!$F$9:$F$128,"Ja")))</x:f>
      </x:c>
      <x:c r="H594" s="88" t="str">
        <x:f>IF(C594="","",MIN(MAX(0,D594+E594-F594-G594),MAX(0,IF(MONATSBUDGET!$C$36="",0,MONATSBUDGET!$C$36)-SUM(F580:F599)-SUM(H580:H593))))</x:f>
      </x:c>
      <x:c r="I594" s="88" t="str">
        <x:f>IF(C594="","",MAX(0,ROUND(D594+E594-F594-G594-H594,2)))</x:f>
      </x:c>
      <x:c r="J594" s="88" t="str">
        <x:f>IF(C594="","",F594+G594+H594)</x:f>
      </x:c>
      <x:c r="K594" s="88" t="str">
        <x:f>IF(C594="","",MAX(0,SUMIFS(SONDERZAHLUNGEN!$E$9:$E$128,SONDERZAHLUNGEN!$B$9:$B$128,C594,SONDERZAHLUNGEN!$C$9:$C$128,A594,SONDERZAHLUNGEN!$H$9:$H$128,"OK",SONDERZAHLUNGEN!$F$9:$F$128,"Ja")-G594))</x:f>
      </x:c>
    </x:row>
    <x:row r="595" ht="19" customHeight="1">
      <x:c r="A595" s="90" t="n">
        <x:f>MONATSBUDGET!$A$36</x:f>
        <x:v>47088</x:v>
      </x:c>
      <x:c r="B595" t="n">
        <x:f>16</x:f>
        <x:v>16</x:v>
      </x:c>
      <x:c r="C595" t="str">
        <x:f>IF($N$24="","",$N$24)</x:f>
      </x:c>
      <x:c r="D595" s="88" t="str">
        <x:f>IF(C595="","",I575)</x:f>
      </x:c>
      <x:c r="E595" s="88" t="str">
        <x:f>IF(C595="","",ROUND(D595*$P$24/12,2))</x:f>
      </x:c>
      <x:c r="F595" s="88" t="str">
        <x:f>IF(C595="","",MIN(D595+E595,$Q$24))</x:f>
      </x:c>
      <x:c r="G595" s="88" t="str">
        <x:f>IF(C595="","",MIN(MAX(0,D595+E595-F595),SUMIFS(SONDERZAHLUNGEN!$E$9:$E$128,SONDERZAHLUNGEN!$B$9:$B$128,C595,SONDERZAHLUNGEN!$C$9:$C$128,A595,SONDERZAHLUNGEN!$H$9:$H$128,"OK",SONDERZAHLUNGEN!$F$9:$F$128,"Ja")))</x:f>
      </x:c>
      <x:c r="H595" s="88" t="str">
        <x:f>IF(C595="","",MIN(MAX(0,D595+E595-F595-G595),MAX(0,IF(MONATSBUDGET!$C$36="",0,MONATSBUDGET!$C$36)-SUM(F580:F599)-SUM(H580:H594))))</x:f>
      </x:c>
      <x:c r="I595" s="88" t="str">
        <x:f>IF(C595="","",MAX(0,ROUND(D595+E595-F595-G595-H595,2)))</x:f>
      </x:c>
      <x:c r="J595" s="88" t="str">
        <x:f>IF(C595="","",F595+G595+H595)</x:f>
      </x:c>
      <x:c r="K595" s="88" t="str">
        <x:f>IF(C595="","",MAX(0,SUMIFS(SONDERZAHLUNGEN!$E$9:$E$128,SONDERZAHLUNGEN!$B$9:$B$128,C595,SONDERZAHLUNGEN!$C$9:$C$128,A595,SONDERZAHLUNGEN!$H$9:$H$128,"OK",SONDERZAHLUNGEN!$F$9:$F$128,"Ja")-G595))</x:f>
      </x:c>
    </x:row>
    <x:row r="596" ht="19" customHeight="1">
      <x:c r="A596" s="90" t="n">
        <x:f>MONATSBUDGET!$A$36</x:f>
        <x:v>47088</x:v>
      </x:c>
      <x:c r="B596" t="n">
        <x:f>17</x:f>
        <x:v>17</x:v>
      </x:c>
      <x:c r="C596" t="str">
        <x:f>IF($N$25="","",$N$25)</x:f>
      </x:c>
      <x:c r="D596" s="88" t="str">
        <x:f>IF(C596="","",I576)</x:f>
      </x:c>
      <x:c r="E596" s="88" t="str">
        <x:f>IF(C596="","",ROUND(D596*$P$25/12,2))</x:f>
      </x:c>
      <x:c r="F596" s="88" t="str">
        <x:f>IF(C596="","",MIN(D596+E596,$Q$25))</x:f>
      </x:c>
      <x:c r="G596" s="88" t="str">
        <x:f>IF(C596="","",MIN(MAX(0,D596+E596-F596),SUMIFS(SONDERZAHLUNGEN!$E$9:$E$128,SONDERZAHLUNGEN!$B$9:$B$128,C596,SONDERZAHLUNGEN!$C$9:$C$128,A596,SONDERZAHLUNGEN!$H$9:$H$128,"OK",SONDERZAHLUNGEN!$F$9:$F$128,"Ja")))</x:f>
      </x:c>
      <x:c r="H596" s="88" t="str">
        <x:f>IF(C596="","",MIN(MAX(0,D596+E596-F596-G596),MAX(0,IF(MONATSBUDGET!$C$36="",0,MONATSBUDGET!$C$36)-SUM(F580:F599)-SUM(H580:H595))))</x:f>
      </x:c>
      <x:c r="I596" s="88" t="str">
        <x:f>IF(C596="","",MAX(0,ROUND(D596+E596-F596-G596-H596,2)))</x:f>
      </x:c>
      <x:c r="J596" s="88" t="str">
        <x:f>IF(C596="","",F596+G596+H596)</x:f>
      </x:c>
      <x:c r="K596" s="88" t="str">
        <x:f>IF(C596="","",MAX(0,SUMIFS(SONDERZAHLUNGEN!$E$9:$E$128,SONDERZAHLUNGEN!$B$9:$B$128,C596,SONDERZAHLUNGEN!$C$9:$C$128,A596,SONDERZAHLUNGEN!$H$9:$H$128,"OK",SONDERZAHLUNGEN!$F$9:$F$128,"Ja")-G596))</x:f>
      </x:c>
    </x:row>
    <x:row r="597" ht="19" customHeight="1">
      <x:c r="A597" s="90" t="n">
        <x:f>MONATSBUDGET!$A$36</x:f>
        <x:v>47088</x:v>
      </x:c>
      <x:c r="B597" t="n">
        <x:f>18</x:f>
        <x:v>18</x:v>
      </x:c>
      <x:c r="C597" t="str">
        <x:f>IF($N$26="","",$N$26)</x:f>
      </x:c>
      <x:c r="D597" s="88" t="str">
        <x:f>IF(C597="","",I577)</x:f>
      </x:c>
      <x:c r="E597" s="88" t="str">
        <x:f>IF(C597="","",ROUND(D597*$P$26/12,2))</x:f>
      </x:c>
      <x:c r="F597" s="88" t="str">
        <x:f>IF(C597="","",MIN(D597+E597,$Q$26))</x:f>
      </x:c>
      <x:c r="G597" s="88" t="str">
        <x:f>IF(C597="","",MIN(MAX(0,D597+E597-F597),SUMIFS(SONDERZAHLUNGEN!$E$9:$E$128,SONDERZAHLUNGEN!$B$9:$B$128,C597,SONDERZAHLUNGEN!$C$9:$C$128,A597,SONDERZAHLUNGEN!$H$9:$H$128,"OK",SONDERZAHLUNGEN!$F$9:$F$128,"Ja")))</x:f>
      </x:c>
      <x:c r="H597" s="88" t="str">
        <x:f>IF(C597="","",MIN(MAX(0,D597+E597-F597-G597),MAX(0,IF(MONATSBUDGET!$C$36="",0,MONATSBUDGET!$C$36)-SUM(F580:F599)-SUM(H580:H596))))</x:f>
      </x:c>
      <x:c r="I597" s="88" t="str">
        <x:f>IF(C597="","",MAX(0,ROUND(D597+E597-F597-G597-H597,2)))</x:f>
      </x:c>
      <x:c r="J597" s="88" t="str">
        <x:f>IF(C597="","",F597+G597+H597)</x:f>
      </x:c>
      <x:c r="K597" s="88" t="str">
        <x:f>IF(C597="","",MAX(0,SUMIFS(SONDERZAHLUNGEN!$E$9:$E$128,SONDERZAHLUNGEN!$B$9:$B$128,C597,SONDERZAHLUNGEN!$C$9:$C$128,A597,SONDERZAHLUNGEN!$H$9:$H$128,"OK",SONDERZAHLUNGEN!$F$9:$F$128,"Ja")-G597))</x:f>
      </x:c>
    </x:row>
    <x:row r="598" ht="19" customHeight="1">
      <x:c r="A598" s="90" t="n">
        <x:f>MONATSBUDGET!$A$36</x:f>
        <x:v>47088</x:v>
      </x:c>
      <x:c r="B598" t="n">
        <x:f>19</x:f>
        <x:v>19</x:v>
      </x:c>
      <x:c r="C598" t="str">
        <x:f>IF($N$27="","",$N$27)</x:f>
      </x:c>
      <x:c r="D598" s="88" t="str">
        <x:f>IF(C598="","",I578)</x:f>
      </x:c>
      <x:c r="E598" s="88" t="str">
        <x:f>IF(C598="","",ROUND(D598*$P$27/12,2))</x:f>
      </x:c>
      <x:c r="F598" s="88" t="str">
        <x:f>IF(C598="","",MIN(D598+E598,$Q$27))</x:f>
      </x:c>
      <x:c r="G598" s="88" t="str">
        <x:f>IF(C598="","",MIN(MAX(0,D598+E598-F598),SUMIFS(SONDERZAHLUNGEN!$E$9:$E$128,SONDERZAHLUNGEN!$B$9:$B$128,C598,SONDERZAHLUNGEN!$C$9:$C$128,A598,SONDERZAHLUNGEN!$H$9:$H$128,"OK",SONDERZAHLUNGEN!$F$9:$F$128,"Ja")))</x:f>
      </x:c>
      <x:c r="H598" s="88" t="str">
        <x:f>IF(C598="","",MIN(MAX(0,D598+E598-F598-G598),MAX(0,IF(MONATSBUDGET!$C$36="",0,MONATSBUDGET!$C$36)-SUM(F580:F599)-SUM(H580:H597))))</x:f>
      </x:c>
      <x:c r="I598" s="88" t="str">
        <x:f>IF(C598="","",MAX(0,ROUND(D598+E598-F598-G598-H598,2)))</x:f>
      </x:c>
      <x:c r="J598" s="88" t="str">
        <x:f>IF(C598="","",F598+G598+H598)</x:f>
      </x:c>
      <x:c r="K598" s="88" t="str">
        <x:f>IF(C598="","",MAX(0,SUMIFS(SONDERZAHLUNGEN!$E$9:$E$128,SONDERZAHLUNGEN!$B$9:$B$128,C598,SONDERZAHLUNGEN!$C$9:$C$128,A598,SONDERZAHLUNGEN!$H$9:$H$128,"OK",SONDERZAHLUNGEN!$F$9:$F$128,"Ja")-G598))</x:f>
      </x:c>
    </x:row>
    <x:row r="599" ht="19" customHeight="1">
      <x:c r="A599" s="90" t="n">
        <x:f>MONATSBUDGET!$A$36</x:f>
        <x:v>47088</x:v>
      </x:c>
      <x:c r="B599" t="n">
        <x:f>20</x:f>
        <x:v>20</x:v>
      </x:c>
      <x:c r="C599" t="str">
        <x:f>IF($N$28="","",$N$28)</x:f>
      </x:c>
      <x:c r="D599" s="88" t="str">
        <x:f>IF(C599="","",I579)</x:f>
      </x:c>
      <x:c r="E599" s="88" t="str">
        <x:f>IF(C599="","",ROUND(D599*$P$28/12,2))</x:f>
      </x:c>
      <x:c r="F599" s="88" t="str">
        <x:f>IF(C599="","",MIN(D599+E599,$Q$28))</x:f>
      </x:c>
      <x:c r="G599" s="88" t="str">
        <x:f>IF(C599="","",MIN(MAX(0,D599+E599-F599),SUMIFS(SONDERZAHLUNGEN!$E$9:$E$128,SONDERZAHLUNGEN!$B$9:$B$128,C599,SONDERZAHLUNGEN!$C$9:$C$128,A599,SONDERZAHLUNGEN!$H$9:$H$128,"OK",SONDERZAHLUNGEN!$F$9:$F$128,"Ja")))</x:f>
      </x:c>
      <x:c r="H599" s="88" t="str">
        <x:f>IF(C599="","",MIN(MAX(0,D599+E599-F599-G599),MAX(0,IF(MONATSBUDGET!$C$36="",0,MONATSBUDGET!$C$36)-SUM(F580:F599)-SUM(H580:H598))))</x:f>
      </x:c>
      <x:c r="I599" s="88" t="str">
        <x:f>IF(C599="","",MAX(0,ROUND(D599+E599-F599-G599-H599,2)))</x:f>
      </x:c>
      <x:c r="J599" s="88" t="str">
        <x:f>IF(C599="","",F599+G599+H599)</x:f>
      </x:c>
      <x:c r="K599" s="88" t="str">
        <x:f>IF(C599="","",MAX(0,SUMIFS(SONDERZAHLUNGEN!$E$9:$E$128,SONDERZAHLUNGEN!$B$9:$B$128,C599,SONDERZAHLUNGEN!$C$9:$C$128,A599,SONDERZAHLUNGEN!$H$9:$H$128,"OK",SONDERZAHLUNGEN!$F$9:$F$128,"Ja")-G599))</x:f>
      </x:c>
    </x:row>
    <x:row r="600" ht="19" customHeight="1">
      <x:c r="A600" s="90" t="n">
        <x:f>MONATSBUDGET!$A$37</x:f>
        <x:v>47119</x:v>
      </x:c>
      <x:c r="B600" t="n">
        <x:f>1</x:f>
        <x:v>1</x:v>
      </x:c>
      <x:c r="C600" t="str">
        <x:f>IF($N$9="","",$N$9)</x:f>
      </x:c>
      <x:c r="D600" s="88" t="str">
        <x:f>IF(C600="","",I580)</x:f>
      </x:c>
      <x:c r="E600" s="88" t="str">
        <x:f>IF(C600="","",ROUND(D600*$P$9/12,2))</x:f>
      </x:c>
      <x:c r="F600" s="88" t="str">
        <x:f>IF(C600="","",MIN(D600+E600,$Q$9))</x:f>
      </x:c>
      <x:c r="G600" s="88" t="str">
        <x:f>IF(C600="","",MIN(MAX(0,D600+E600-F600),SUMIFS(SONDERZAHLUNGEN!$E$9:$E$128,SONDERZAHLUNGEN!$B$9:$B$128,C600,SONDERZAHLUNGEN!$C$9:$C$128,A600,SONDERZAHLUNGEN!$H$9:$H$128,"OK",SONDERZAHLUNGEN!$F$9:$F$128,"Ja")))</x:f>
      </x:c>
      <x:c r="H600" s="88" t="str">
        <x:f>IF(C600="","",MIN(MAX(0,D600+E600-F600-G600),MAX(0,IF(MONATSBUDGET!$C$37="",0,MONATSBUDGET!$C$37)-SUM(F600:F619)-0)))</x:f>
      </x:c>
      <x:c r="I600" s="88" t="str">
        <x:f>IF(C600="","",MAX(0,ROUND(D600+E600-F600-G600-H600,2)))</x:f>
      </x:c>
      <x:c r="J600" s="88" t="str">
        <x:f>IF(C600="","",F600+G600+H600)</x:f>
      </x:c>
      <x:c r="K600" s="88" t="str">
        <x:f>IF(C600="","",MAX(0,SUMIFS(SONDERZAHLUNGEN!$E$9:$E$128,SONDERZAHLUNGEN!$B$9:$B$128,C600,SONDERZAHLUNGEN!$C$9:$C$128,A600,SONDERZAHLUNGEN!$H$9:$H$128,"OK",SONDERZAHLUNGEN!$F$9:$F$128,"Ja")-G600))</x:f>
      </x:c>
    </x:row>
    <x:row r="601" ht="19" customHeight="1">
      <x:c r="A601" s="90" t="n">
        <x:f>MONATSBUDGET!$A$37</x:f>
        <x:v>47119</x:v>
      </x:c>
      <x:c r="B601" t="n">
        <x:f>2</x:f>
        <x:v>2</x:v>
      </x:c>
      <x:c r="C601" t="str">
        <x:f>IF($N$10="","",$N$10)</x:f>
      </x:c>
      <x:c r="D601" s="88" t="str">
        <x:f>IF(C601="","",I581)</x:f>
      </x:c>
      <x:c r="E601" s="88" t="str">
        <x:f>IF(C601="","",ROUND(D601*$P$10/12,2))</x:f>
      </x:c>
      <x:c r="F601" s="88" t="str">
        <x:f>IF(C601="","",MIN(D601+E601,$Q$10))</x:f>
      </x:c>
      <x:c r="G601" s="88" t="str">
        <x:f>IF(C601="","",MIN(MAX(0,D601+E601-F601),SUMIFS(SONDERZAHLUNGEN!$E$9:$E$128,SONDERZAHLUNGEN!$B$9:$B$128,C601,SONDERZAHLUNGEN!$C$9:$C$128,A601,SONDERZAHLUNGEN!$H$9:$H$128,"OK",SONDERZAHLUNGEN!$F$9:$F$128,"Ja")))</x:f>
      </x:c>
      <x:c r="H601" s="88" t="str">
        <x:f>IF(C601="","",MIN(MAX(0,D601+E601-F601-G601),MAX(0,IF(MONATSBUDGET!$C$37="",0,MONATSBUDGET!$C$37)-SUM(F600:F619)-SUM(H600:H600))))</x:f>
      </x:c>
      <x:c r="I601" s="88" t="str">
        <x:f>IF(C601="","",MAX(0,ROUND(D601+E601-F601-G601-H601,2)))</x:f>
      </x:c>
      <x:c r="J601" s="88" t="str">
        <x:f>IF(C601="","",F601+G601+H601)</x:f>
      </x:c>
      <x:c r="K601" s="88" t="str">
        <x:f>IF(C601="","",MAX(0,SUMIFS(SONDERZAHLUNGEN!$E$9:$E$128,SONDERZAHLUNGEN!$B$9:$B$128,C601,SONDERZAHLUNGEN!$C$9:$C$128,A601,SONDERZAHLUNGEN!$H$9:$H$128,"OK",SONDERZAHLUNGEN!$F$9:$F$128,"Ja")-G601))</x:f>
      </x:c>
    </x:row>
    <x:row r="602" ht="19" customHeight="1">
      <x:c r="A602" s="90" t="n">
        <x:f>MONATSBUDGET!$A$37</x:f>
        <x:v>47119</x:v>
      </x:c>
      <x:c r="B602" t="n">
        <x:f>3</x:f>
        <x:v>3</x:v>
      </x:c>
      <x:c r="C602" t="str">
        <x:f>IF($N$11="","",$N$11)</x:f>
      </x:c>
      <x:c r="D602" s="88" t="str">
        <x:f>IF(C602="","",I582)</x:f>
      </x:c>
      <x:c r="E602" s="88" t="str">
        <x:f>IF(C602="","",ROUND(D602*$P$11/12,2))</x:f>
      </x:c>
      <x:c r="F602" s="88" t="str">
        <x:f>IF(C602="","",MIN(D602+E602,$Q$11))</x:f>
      </x:c>
      <x:c r="G602" s="88" t="str">
        <x:f>IF(C602="","",MIN(MAX(0,D602+E602-F602),SUMIFS(SONDERZAHLUNGEN!$E$9:$E$128,SONDERZAHLUNGEN!$B$9:$B$128,C602,SONDERZAHLUNGEN!$C$9:$C$128,A602,SONDERZAHLUNGEN!$H$9:$H$128,"OK",SONDERZAHLUNGEN!$F$9:$F$128,"Ja")))</x:f>
      </x:c>
      <x:c r="H602" s="88" t="str">
        <x:f>IF(C602="","",MIN(MAX(0,D602+E602-F602-G602),MAX(0,IF(MONATSBUDGET!$C$37="",0,MONATSBUDGET!$C$37)-SUM(F600:F619)-SUM(H600:H601))))</x:f>
      </x:c>
      <x:c r="I602" s="88" t="str">
        <x:f>IF(C602="","",MAX(0,ROUND(D602+E602-F602-G602-H602,2)))</x:f>
      </x:c>
      <x:c r="J602" s="88" t="str">
        <x:f>IF(C602="","",F602+G602+H602)</x:f>
      </x:c>
      <x:c r="K602" s="88" t="str">
        <x:f>IF(C602="","",MAX(0,SUMIFS(SONDERZAHLUNGEN!$E$9:$E$128,SONDERZAHLUNGEN!$B$9:$B$128,C602,SONDERZAHLUNGEN!$C$9:$C$128,A602,SONDERZAHLUNGEN!$H$9:$H$128,"OK",SONDERZAHLUNGEN!$F$9:$F$128,"Ja")-G602))</x:f>
      </x:c>
    </x:row>
    <x:row r="603" ht="19" customHeight="1">
      <x:c r="A603" s="90" t="n">
        <x:f>MONATSBUDGET!$A$37</x:f>
        <x:v>47119</x:v>
      </x:c>
      <x:c r="B603" t="n">
        <x:f>4</x:f>
        <x:v>4</x:v>
      </x:c>
      <x:c r="C603" t="str">
        <x:f>IF($N$12="","",$N$12)</x:f>
      </x:c>
      <x:c r="D603" s="88" t="str">
        <x:f>IF(C603="","",I583)</x:f>
      </x:c>
      <x:c r="E603" s="88" t="str">
        <x:f>IF(C603="","",ROUND(D603*$P$12/12,2))</x:f>
      </x:c>
      <x:c r="F603" s="88" t="str">
        <x:f>IF(C603="","",MIN(D603+E603,$Q$12))</x:f>
      </x:c>
      <x:c r="G603" s="88" t="str">
        <x:f>IF(C603="","",MIN(MAX(0,D603+E603-F603),SUMIFS(SONDERZAHLUNGEN!$E$9:$E$128,SONDERZAHLUNGEN!$B$9:$B$128,C603,SONDERZAHLUNGEN!$C$9:$C$128,A603,SONDERZAHLUNGEN!$H$9:$H$128,"OK",SONDERZAHLUNGEN!$F$9:$F$128,"Ja")))</x:f>
      </x:c>
      <x:c r="H603" s="88" t="str">
        <x:f>IF(C603="","",MIN(MAX(0,D603+E603-F603-G603),MAX(0,IF(MONATSBUDGET!$C$37="",0,MONATSBUDGET!$C$37)-SUM(F600:F619)-SUM(H600:H602))))</x:f>
      </x:c>
      <x:c r="I603" s="88" t="str">
        <x:f>IF(C603="","",MAX(0,ROUND(D603+E603-F603-G603-H603,2)))</x:f>
      </x:c>
      <x:c r="J603" s="88" t="str">
        <x:f>IF(C603="","",F603+G603+H603)</x:f>
      </x:c>
      <x:c r="K603" s="88" t="str">
        <x:f>IF(C603="","",MAX(0,SUMIFS(SONDERZAHLUNGEN!$E$9:$E$128,SONDERZAHLUNGEN!$B$9:$B$128,C603,SONDERZAHLUNGEN!$C$9:$C$128,A603,SONDERZAHLUNGEN!$H$9:$H$128,"OK",SONDERZAHLUNGEN!$F$9:$F$128,"Ja")-G603))</x:f>
      </x:c>
    </x:row>
    <x:row r="604" ht="19" customHeight="1">
      <x:c r="A604" s="90" t="n">
        <x:f>MONATSBUDGET!$A$37</x:f>
        <x:v>47119</x:v>
      </x:c>
      <x:c r="B604" t="n">
        <x:f>5</x:f>
        <x:v>5</x:v>
      </x:c>
      <x:c r="C604" t="str">
        <x:f>IF($N$13="","",$N$13)</x:f>
      </x:c>
      <x:c r="D604" s="88" t="str">
        <x:f>IF(C604="","",I584)</x:f>
      </x:c>
      <x:c r="E604" s="88" t="str">
        <x:f>IF(C604="","",ROUND(D604*$P$13/12,2))</x:f>
      </x:c>
      <x:c r="F604" s="88" t="str">
        <x:f>IF(C604="","",MIN(D604+E604,$Q$13))</x:f>
      </x:c>
      <x:c r="G604" s="88" t="str">
        <x:f>IF(C604="","",MIN(MAX(0,D604+E604-F604),SUMIFS(SONDERZAHLUNGEN!$E$9:$E$128,SONDERZAHLUNGEN!$B$9:$B$128,C604,SONDERZAHLUNGEN!$C$9:$C$128,A604,SONDERZAHLUNGEN!$H$9:$H$128,"OK",SONDERZAHLUNGEN!$F$9:$F$128,"Ja")))</x:f>
      </x:c>
      <x:c r="H604" s="88" t="str">
        <x:f>IF(C604="","",MIN(MAX(0,D604+E604-F604-G604),MAX(0,IF(MONATSBUDGET!$C$37="",0,MONATSBUDGET!$C$37)-SUM(F600:F619)-SUM(H600:H603))))</x:f>
      </x:c>
      <x:c r="I604" s="88" t="str">
        <x:f>IF(C604="","",MAX(0,ROUND(D604+E604-F604-G604-H604,2)))</x:f>
      </x:c>
      <x:c r="J604" s="88" t="str">
        <x:f>IF(C604="","",F604+G604+H604)</x:f>
      </x:c>
      <x:c r="K604" s="88" t="str">
        <x:f>IF(C604="","",MAX(0,SUMIFS(SONDERZAHLUNGEN!$E$9:$E$128,SONDERZAHLUNGEN!$B$9:$B$128,C604,SONDERZAHLUNGEN!$C$9:$C$128,A604,SONDERZAHLUNGEN!$H$9:$H$128,"OK",SONDERZAHLUNGEN!$F$9:$F$128,"Ja")-G604))</x:f>
      </x:c>
    </x:row>
    <x:row r="605" ht="19" customHeight="1">
      <x:c r="A605" s="90" t="n">
        <x:f>MONATSBUDGET!$A$37</x:f>
        <x:v>47119</x:v>
      </x:c>
      <x:c r="B605" t="n">
        <x:f>6</x:f>
        <x:v>6</x:v>
      </x:c>
      <x:c r="C605" t="str">
        <x:f>IF($N$14="","",$N$14)</x:f>
      </x:c>
      <x:c r="D605" s="88" t="str">
        <x:f>IF(C605="","",I585)</x:f>
      </x:c>
      <x:c r="E605" s="88" t="str">
        <x:f>IF(C605="","",ROUND(D605*$P$14/12,2))</x:f>
      </x:c>
      <x:c r="F605" s="88" t="str">
        <x:f>IF(C605="","",MIN(D605+E605,$Q$14))</x:f>
      </x:c>
      <x:c r="G605" s="88" t="str">
        <x:f>IF(C605="","",MIN(MAX(0,D605+E605-F605),SUMIFS(SONDERZAHLUNGEN!$E$9:$E$128,SONDERZAHLUNGEN!$B$9:$B$128,C605,SONDERZAHLUNGEN!$C$9:$C$128,A605,SONDERZAHLUNGEN!$H$9:$H$128,"OK",SONDERZAHLUNGEN!$F$9:$F$128,"Ja")))</x:f>
      </x:c>
      <x:c r="H605" s="88" t="str">
        <x:f>IF(C605="","",MIN(MAX(0,D605+E605-F605-G605),MAX(0,IF(MONATSBUDGET!$C$37="",0,MONATSBUDGET!$C$37)-SUM(F600:F619)-SUM(H600:H604))))</x:f>
      </x:c>
      <x:c r="I605" s="88" t="str">
        <x:f>IF(C605="","",MAX(0,ROUND(D605+E605-F605-G605-H605,2)))</x:f>
      </x:c>
      <x:c r="J605" s="88" t="str">
        <x:f>IF(C605="","",F605+G605+H605)</x:f>
      </x:c>
      <x:c r="K605" s="88" t="str">
        <x:f>IF(C605="","",MAX(0,SUMIFS(SONDERZAHLUNGEN!$E$9:$E$128,SONDERZAHLUNGEN!$B$9:$B$128,C605,SONDERZAHLUNGEN!$C$9:$C$128,A605,SONDERZAHLUNGEN!$H$9:$H$128,"OK",SONDERZAHLUNGEN!$F$9:$F$128,"Ja")-G605))</x:f>
      </x:c>
    </x:row>
    <x:row r="606" ht="19" customHeight="1">
      <x:c r="A606" s="90" t="n">
        <x:f>MONATSBUDGET!$A$37</x:f>
        <x:v>47119</x:v>
      </x:c>
      <x:c r="B606" t="n">
        <x:f>7</x:f>
        <x:v>7</x:v>
      </x:c>
      <x:c r="C606" t="str">
        <x:f>IF($N$15="","",$N$15)</x:f>
      </x:c>
      <x:c r="D606" s="88" t="str">
        <x:f>IF(C606="","",I586)</x:f>
      </x:c>
      <x:c r="E606" s="88" t="str">
        <x:f>IF(C606="","",ROUND(D606*$P$15/12,2))</x:f>
      </x:c>
      <x:c r="F606" s="88" t="str">
        <x:f>IF(C606="","",MIN(D606+E606,$Q$15))</x:f>
      </x:c>
      <x:c r="G606" s="88" t="str">
        <x:f>IF(C606="","",MIN(MAX(0,D606+E606-F606),SUMIFS(SONDERZAHLUNGEN!$E$9:$E$128,SONDERZAHLUNGEN!$B$9:$B$128,C606,SONDERZAHLUNGEN!$C$9:$C$128,A606,SONDERZAHLUNGEN!$H$9:$H$128,"OK",SONDERZAHLUNGEN!$F$9:$F$128,"Ja")))</x:f>
      </x:c>
      <x:c r="H606" s="88" t="str">
        <x:f>IF(C606="","",MIN(MAX(0,D606+E606-F606-G606),MAX(0,IF(MONATSBUDGET!$C$37="",0,MONATSBUDGET!$C$37)-SUM(F600:F619)-SUM(H600:H605))))</x:f>
      </x:c>
      <x:c r="I606" s="88" t="str">
        <x:f>IF(C606="","",MAX(0,ROUND(D606+E606-F606-G606-H606,2)))</x:f>
      </x:c>
      <x:c r="J606" s="88" t="str">
        <x:f>IF(C606="","",F606+G606+H606)</x:f>
      </x:c>
      <x:c r="K606" s="88" t="str">
        <x:f>IF(C606="","",MAX(0,SUMIFS(SONDERZAHLUNGEN!$E$9:$E$128,SONDERZAHLUNGEN!$B$9:$B$128,C606,SONDERZAHLUNGEN!$C$9:$C$128,A606,SONDERZAHLUNGEN!$H$9:$H$128,"OK",SONDERZAHLUNGEN!$F$9:$F$128,"Ja")-G606))</x:f>
      </x:c>
    </x:row>
    <x:row r="607" ht="19" customHeight="1">
      <x:c r="A607" s="90" t="n">
        <x:f>MONATSBUDGET!$A$37</x:f>
        <x:v>47119</x:v>
      </x:c>
      <x:c r="B607" t="n">
        <x:f>8</x:f>
        <x:v>8</x:v>
      </x:c>
      <x:c r="C607" t="str">
        <x:f>IF($N$16="","",$N$16)</x:f>
      </x:c>
      <x:c r="D607" s="88" t="str">
        <x:f>IF(C607="","",I587)</x:f>
      </x:c>
      <x:c r="E607" s="88" t="str">
        <x:f>IF(C607="","",ROUND(D607*$P$16/12,2))</x:f>
      </x:c>
      <x:c r="F607" s="88" t="str">
        <x:f>IF(C607="","",MIN(D607+E607,$Q$16))</x:f>
      </x:c>
      <x:c r="G607" s="88" t="str">
        <x:f>IF(C607="","",MIN(MAX(0,D607+E607-F607),SUMIFS(SONDERZAHLUNGEN!$E$9:$E$128,SONDERZAHLUNGEN!$B$9:$B$128,C607,SONDERZAHLUNGEN!$C$9:$C$128,A607,SONDERZAHLUNGEN!$H$9:$H$128,"OK",SONDERZAHLUNGEN!$F$9:$F$128,"Ja")))</x:f>
      </x:c>
      <x:c r="H607" s="88" t="str">
        <x:f>IF(C607="","",MIN(MAX(0,D607+E607-F607-G607),MAX(0,IF(MONATSBUDGET!$C$37="",0,MONATSBUDGET!$C$37)-SUM(F600:F619)-SUM(H600:H606))))</x:f>
      </x:c>
      <x:c r="I607" s="88" t="str">
        <x:f>IF(C607="","",MAX(0,ROUND(D607+E607-F607-G607-H607,2)))</x:f>
      </x:c>
      <x:c r="J607" s="88" t="str">
        <x:f>IF(C607="","",F607+G607+H607)</x:f>
      </x:c>
      <x:c r="K607" s="88" t="str">
        <x:f>IF(C607="","",MAX(0,SUMIFS(SONDERZAHLUNGEN!$E$9:$E$128,SONDERZAHLUNGEN!$B$9:$B$128,C607,SONDERZAHLUNGEN!$C$9:$C$128,A607,SONDERZAHLUNGEN!$H$9:$H$128,"OK",SONDERZAHLUNGEN!$F$9:$F$128,"Ja")-G607))</x:f>
      </x:c>
    </x:row>
    <x:row r="608" ht="19" customHeight="1">
      <x:c r="A608" s="90" t="n">
        <x:f>MONATSBUDGET!$A$37</x:f>
        <x:v>47119</x:v>
      </x:c>
      <x:c r="B608" t="n">
        <x:f>9</x:f>
        <x:v>9</x:v>
      </x:c>
      <x:c r="C608" t="str">
        <x:f>IF($N$17="","",$N$17)</x:f>
      </x:c>
      <x:c r="D608" s="88" t="str">
        <x:f>IF(C608="","",I588)</x:f>
      </x:c>
      <x:c r="E608" s="88" t="str">
        <x:f>IF(C608="","",ROUND(D608*$P$17/12,2))</x:f>
      </x:c>
      <x:c r="F608" s="88" t="str">
        <x:f>IF(C608="","",MIN(D608+E608,$Q$17))</x:f>
      </x:c>
      <x:c r="G608" s="88" t="str">
        <x:f>IF(C608="","",MIN(MAX(0,D608+E608-F608),SUMIFS(SONDERZAHLUNGEN!$E$9:$E$128,SONDERZAHLUNGEN!$B$9:$B$128,C608,SONDERZAHLUNGEN!$C$9:$C$128,A608,SONDERZAHLUNGEN!$H$9:$H$128,"OK",SONDERZAHLUNGEN!$F$9:$F$128,"Ja")))</x:f>
      </x:c>
      <x:c r="H608" s="88" t="str">
        <x:f>IF(C608="","",MIN(MAX(0,D608+E608-F608-G608),MAX(0,IF(MONATSBUDGET!$C$37="",0,MONATSBUDGET!$C$37)-SUM(F600:F619)-SUM(H600:H607))))</x:f>
      </x:c>
      <x:c r="I608" s="88" t="str">
        <x:f>IF(C608="","",MAX(0,ROUND(D608+E608-F608-G608-H608,2)))</x:f>
      </x:c>
      <x:c r="J608" s="88" t="str">
        <x:f>IF(C608="","",F608+G608+H608)</x:f>
      </x:c>
      <x:c r="K608" s="88" t="str">
        <x:f>IF(C608="","",MAX(0,SUMIFS(SONDERZAHLUNGEN!$E$9:$E$128,SONDERZAHLUNGEN!$B$9:$B$128,C608,SONDERZAHLUNGEN!$C$9:$C$128,A608,SONDERZAHLUNGEN!$H$9:$H$128,"OK",SONDERZAHLUNGEN!$F$9:$F$128,"Ja")-G608))</x:f>
      </x:c>
    </x:row>
    <x:row r="609" ht="19" customHeight="1">
      <x:c r="A609" s="90" t="n">
        <x:f>MONATSBUDGET!$A$37</x:f>
        <x:v>47119</x:v>
      </x:c>
      <x:c r="B609" t="n">
        <x:f>10</x:f>
        <x:v>10</x:v>
      </x:c>
      <x:c r="C609" t="str">
        <x:f>IF($N$18="","",$N$18)</x:f>
      </x:c>
      <x:c r="D609" s="88" t="str">
        <x:f>IF(C609="","",I589)</x:f>
      </x:c>
      <x:c r="E609" s="88" t="str">
        <x:f>IF(C609="","",ROUND(D609*$P$18/12,2))</x:f>
      </x:c>
      <x:c r="F609" s="88" t="str">
        <x:f>IF(C609="","",MIN(D609+E609,$Q$18))</x:f>
      </x:c>
      <x:c r="G609" s="88" t="str">
        <x:f>IF(C609="","",MIN(MAX(0,D609+E609-F609),SUMIFS(SONDERZAHLUNGEN!$E$9:$E$128,SONDERZAHLUNGEN!$B$9:$B$128,C609,SONDERZAHLUNGEN!$C$9:$C$128,A609,SONDERZAHLUNGEN!$H$9:$H$128,"OK",SONDERZAHLUNGEN!$F$9:$F$128,"Ja")))</x:f>
      </x:c>
      <x:c r="H609" s="88" t="str">
        <x:f>IF(C609="","",MIN(MAX(0,D609+E609-F609-G609),MAX(0,IF(MONATSBUDGET!$C$37="",0,MONATSBUDGET!$C$37)-SUM(F600:F619)-SUM(H600:H608))))</x:f>
      </x:c>
      <x:c r="I609" s="88" t="str">
        <x:f>IF(C609="","",MAX(0,ROUND(D609+E609-F609-G609-H609,2)))</x:f>
      </x:c>
      <x:c r="J609" s="88" t="str">
        <x:f>IF(C609="","",F609+G609+H609)</x:f>
      </x:c>
      <x:c r="K609" s="88" t="str">
        <x:f>IF(C609="","",MAX(0,SUMIFS(SONDERZAHLUNGEN!$E$9:$E$128,SONDERZAHLUNGEN!$B$9:$B$128,C609,SONDERZAHLUNGEN!$C$9:$C$128,A609,SONDERZAHLUNGEN!$H$9:$H$128,"OK",SONDERZAHLUNGEN!$F$9:$F$128,"Ja")-G609))</x:f>
      </x:c>
    </x:row>
    <x:row r="610" ht="19" customHeight="1">
      <x:c r="A610" s="90" t="n">
        <x:f>MONATSBUDGET!$A$37</x:f>
        <x:v>47119</x:v>
      </x:c>
      <x:c r="B610" t="n">
        <x:f>11</x:f>
        <x:v>11</x:v>
      </x:c>
      <x:c r="C610" t="str">
        <x:f>IF($N$19="","",$N$19)</x:f>
      </x:c>
      <x:c r="D610" s="88" t="str">
        <x:f>IF(C610="","",I590)</x:f>
      </x:c>
      <x:c r="E610" s="88" t="str">
        <x:f>IF(C610="","",ROUND(D610*$P$19/12,2))</x:f>
      </x:c>
      <x:c r="F610" s="88" t="str">
        <x:f>IF(C610="","",MIN(D610+E610,$Q$19))</x:f>
      </x:c>
      <x:c r="G610" s="88" t="str">
        <x:f>IF(C610="","",MIN(MAX(0,D610+E610-F610),SUMIFS(SONDERZAHLUNGEN!$E$9:$E$128,SONDERZAHLUNGEN!$B$9:$B$128,C610,SONDERZAHLUNGEN!$C$9:$C$128,A610,SONDERZAHLUNGEN!$H$9:$H$128,"OK",SONDERZAHLUNGEN!$F$9:$F$128,"Ja")))</x:f>
      </x:c>
      <x:c r="H610" s="88" t="str">
        <x:f>IF(C610="","",MIN(MAX(0,D610+E610-F610-G610),MAX(0,IF(MONATSBUDGET!$C$37="",0,MONATSBUDGET!$C$37)-SUM(F600:F619)-SUM(H600:H609))))</x:f>
      </x:c>
      <x:c r="I610" s="88" t="str">
        <x:f>IF(C610="","",MAX(0,ROUND(D610+E610-F610-G610-H610,2)))</x:f>
      </x:c>
      <x:c r="J610" s="88" t="str">
        <x:f>IF(C610="","",F610+G610+H610)</x:f>
      </x:c>
      <x:c r="K610" s="88" t="str">
        <x:f>IF(C610="","",MAX(0,SUMIFS(SONDERZAHLUNGEN!$E$9:$E$128,SONDERZAHLUNGEN!$B$9:$B$128,C610,SONDERZAHLUNGEN!$C$9:$C$128,A610,SONDERZAHLUNGEN!$H$9:$H$128,"OK",SONDERZAHLUNGEN!$F$9:$F$128,"Ja")-G610))</x:f>
      </x:c>
    </x:row>
    <x:row r="611" ht="19" customHeight="1">
      <x:c r="A611" s="90" t="n">
        <x:f>MONATSBUDGET!$A$37</x:f>
        <x:v>47119</x:v>
      </x:c>
      <x:c r="B611" t="n">
        <x:f>12</x:f>
        <x:v>12</x:v>
      </x:c>
      <x:c r="C611" t="str">
        <x:f>IF($N$20="","",$N$20)</x:f>
      </x:c>
      <x:c r="D611" s="88" t="str">
        <x:f>IF(C611="","",I591)</x:f>
      </x:c>
      <x:c r="E611" s="88" t="str">
        <x:f>IF(C611="","",ROUND(D611*$P$20/12,2))</x:f>
      </x:c>
      <x:c r="F611" s="88" t="str">
        <x:f>IF(C611="","",MIN(D611+E611,$Q$20))</x:f>
      </x:c>
      <x:c r="G611" s="88" t="str">
        <x:f>IF(C611="","",MIN(MAX(0,D611+E611-F611),SUMIFS(SONDERZAHLUNGEN!$E$9:$E$128,SONDERZAHLUNGEN!$B$9:$B$128,C611,SONDERZAHLUNGEN!$C$9:$C$128,A611,SONDERZAHLUNGEN!$H$9:$H$128,"OK",SONDERZAHLUNGEN!$F$9:$F$128,"Ja")))</x:f>
      </x:c>
      <x:c r="H611" s="88" t="str">
        <x:f>IF(C611="","",MIN(MAX(0,D611+E611-F611-G611),MAX(0,IF(MONATSBUDGET!$C$37="",0,MONATSBUDGET!$C$37)-SUM(F600:F619)-SUM(H600:H610))))</x:f>
      </x:c>
      <x:c r="I611" s="88" t="str">
        <x:f>IF(C611="","",MAX(0,ROUND(D611+E611-F611-G611-H611,2)))</x:f>
      </x:c>
      <x:c r="J611" s="88" t="str">
        <x:f>IF(C611="","",F611+G611+H611)</x:f>
      </x:c>
      <x:c r="K611" s="88" t="str">
        <x:f>IF(C611="","",MAX(0,SUMIFS(SONDERZAHLUNGEN!$E$9:$E$128,SONDERZAHLUNGEN!$B$9:$B$128,C611,SONDERZAHLUNGEN!$C$9:$C$128,A611,SONDERZAHLUNGEN!$H$9:$H$128,"OK",SONDERZAHLUNGEN!$F$9:$F$128,"Ja")-G611))</x:f>
      </x:c>
    </x:row>
    <x:row r="612" ht="19" customHeight="1">
      <x:c r="A612" s="90" t="n">
        <x:f>MONATSBUDGET!$A$37</x:f>
        <x:v>47119</x:v>
      </x:c>
      <x:c r="B612" t="n">
        <x:f>13</x:f>
        <x:v>13</x:v>
      </x:c>
      <x:c r="C612" t="str">
        <x:f>IF($N$21="","",$N$21)</x:f>
      </x:c>
      <x:c r="D612" s="88" t="str">
        <x:f>IF(C612="","",I592)</x:f>
      </x:c>
      <x:c r="E612" s="88" t="str">
        <x:f>IF(C612="","",ROUND(D612*$P$21/12,2))</x:f>
      </x:c>
      <x:c r="F612" s="88" t="str">
        <x:f>IF(C612="","",MIN(D612+E612,$Q$21))</x:f>
      </x:c>
      <x:c r="G612" s="88" t="str">
        <x:f>IF(C612="","",MIN(MAX(0,D612+E612-F612),SUMIFS(SONDERZAHLUNGEN!$E$9:$E$128,SONDERZAHLUNGEN!$B$9:$B$128,C612,SONDERZAHLUNGEN!$C$9:$C$128,A612,SONDERZAHLUNGEN!$H$9:$H$128,"OK",SONDERZAHLUNGEN!$F$9:$F$128,"Ja")))</x:f>
      </x:c>
      <x:c r="H612" s="88" t="str">
        <x:f>IF(C612="","",MIN(MAX(0,D612+E612-F612-G612),MAX(0,IF(MONATSBUDGET!$C$37="",0,MONATSBUDGET!$C$37)-SUM(F600:F619)-SUM(H600:H611))))</x:f>
      </x:c>
      <x:c r="I612" s="88" t="str">
        <x:f>IF(C612="","",MAX(0,ROUND(D612+E612-F612-G612-H612,2)))</x:f>
      </x:c>
      <x:c r="J612" s="88" t="str">
        <x:f>IF(C612="","",F612+G612+H612)</x:f>
      </x:c>
      <x:c r="K612" s="88" t="str">
        <x:f>IF(C612="","",MAX(0,SUMIFS(SONDERZAHLUNGEN!$E$9:$E$128,SONDERZAHLUNGEN!$B$9:$B$128,C612,SONDERZAHLUNGEN!$C$9:$C$128,A612,SONDERZAHLUNGEN!$H$9:$H$128,"OK",SONDERZAHLUNGEN!$F$9:$F$128,"Ja")-G612))</x:f>
      </x:c>
    </x:row>
    <x:row r="613" ht="19" customHeight="1">
      <x:c r="A613" s="90" t="n">
        <x:f>MONATSBUDGET!$A$37</x:f>
        <x:v>47119</x:v>
      </x:c>
      <x:c r="B613" t="n">
        <x:f>14</x:f>
        <x:v>14</x:v>
      </x:c>
      <x:c r="C613" t="str">
        <x:f>IF($N$22="","",$N$22)</x:f>
      </x:c>
      <x:c r="D613" s="88" t="str">
        <x:f>IF(C613="","",I593)</x:f>
      </x:c>
      <x:c r="E613" s="88" t="str">
        <x:f>IF(C613="","",ROUND(D613*$P$22/12,2))</x:f>
      </x:c>
      <x:c r="F613" s="88" t="str">
        <x:f>IF(C613="","",MIN(D613+E613,$Q$22))</x:f>
      </x:c>
      <x:c r="G613" s="88" t="str">
        <x:f>IF(C613="","",MIN(MAX(0,D613+E613-F613),SUMIFS(SONDERZAHLUNGEN!$E$9:$E$128,SONDERZAHLUNGEN!$B$9:$B$128,C613,SONDERZAHLUNGEN!$C$9:$C$128,A613,SONDERZAHLUNGEN!$H$9:$H$128,"OK",SONDERZAHLUNGEN!$F$9:$F$128,"Ja")))</x:f>
      </x:c>
      <x:c r="H613" s="88" t="str">
        <x:f>IF(C613="","",MIN(MAX(0,D613+E613-F613-G613),MAX(0,IF(MONATSBUDGET!$C$37="",0,MONATSBUDGET!$C$37)-SUM(F600:F619)-SUM(H600:H612))))</x:f>
      </x:c>
      <x:c r="I613" s="88" t="str">
        <x:f>IF(C613="","",MAX(0,ROUND(D613+E613-F613-G613-H613,2)))</x:f>
      </x:c>
      <x:c r="J613" s="88" t="str">
        <x:f>IF(C613="","",F613+G613+H613)</x:f>
      </x:c>
      <x:c r="K613" s="88" t="str">
        <x:f>IF(C613="","",MAX(0,SUMIFS(SONDERZAHLUNGEN!$E$9:$E$128,SONDERZAHLUNGEN!$B$9:$B$128,C613,SONDERZAHLUNGEN!$C$9:$C$128,A613,SONDERZAHLUNGEN!$H$9:$H$128,"OK",SONDERZAHLUNGEN!$F$9:$F$128,"Ja")-G613))</x:f>
      </x:c>
    </x:row>
    <x:row r="614" ht="19" customHeight="1">
      <x:c r="A614" s="90" t="n">
        <x:f>MONATSBUDGET!$A$37</x:f>
        <x:v>47119</x:v>
      </x:c>
      <x:c r="B614" t="n">
        <x:f>15</x:f>
        <x:v>15</x:v>
      </x:c>
      <x:c r="C614" t="str">
        <x:f>IF($N$23="","",$N$23)</x:f>
      </x:c>
      <x:c r="D614" s="88" t="str">
        <x:f>IF(C614="","",I594)</x:f>
      </x:c>
      <x:c r="E614" s="88" t="str">
        <x:f>IF(C614="","",ROUND(D614*$P$23/12,2))</x:f>
      </x:c>
      <x:c r="F614" s="88" t="str">
        <x:f>IF(C614="","",MIN(D614+E614,$Q$23))</x:f>
      </x:c>
      <x:c r="G614" s="88" t="str">
        <x:f>IF(C614="","",MIN(MAX(0,D614+E614-F614),SUMIFS(SONDERZAHLUNGEN!$E$9:$E$128,SONDERZAHLUNGEN!$B$9:$B$128,C614,SONDERZAHLUNGEN!$C$9:$C$128,A614,SONDERZAHLUNGEN!$H$9:$H$128,"OK",SONDERZAHLUNGEN!$F$9:$F$128,"Ja")))</x:f>
      </x:c>
      <x:c r="H614" s="88" t="str">
        <x:f>IF(C614="","",MIN(MAX(0,D614+E614-F614-G614),MAX(0,IF(MONATSBUDGET!$C$37="",0,MONATSBUDGET!$C$37)-SUM(F600:F619)-SUM(H600:H613))))</x:f>
      </x:c>
      <x:c r="I614" s="88" t="str">
        <x:f>IF(C614="","",MAX(0,ROUND(D614+E614-F614-G614-H614,2)))</x:f>
      </x:c>
      <x:c r="J614" s="88" t="str">
        <x:f>IF(C614="","",F614+G614+H614)</x:f>
      </x:c>
      <x:c r="K614" s="88" t="str">
        <x:f>IF(C614="","",MAX(0,SUMIFS(SONDERZAHLUNGEN!$E$9:$E$128,SONDERZAHLUNGEN!$B$9:$B$128,C614,SONDERZAHLUNGEN!$C$9:$C$128,A614,SONDERZAHLUNGEN!$H$9:$H$128,"OK",SONDERZAHLUNGEN!$F$9:$F$128,"Ja")-G614))</x:f>
      </x:c>
    </x:row>
    <x:row r="615" ht="19" customHeight="1">
      <x:c r="A615" s="90" t="n">
        <x:f>MONATSBUDGET!$A$37</x:f>
        <x:v>47119</x:v>
      </x:c>
      <x:c r="B615" t="n">
        <x:f>16</x:f>
        <x:v>16</x:v>
      </x:c>
      <x:c r="C615" t="str">
        <x:f>IF($N$24="","",$N$24)</x:f>
      </x:c>
      <x:c r="D615" s="88" t="str">
        <x:f>IF(C615="","",I595)</x:f>
      </x:c>
      <x:c r="E615" s="88" t="str">
        <x:f>IF(C615="","",ROUND(D615*$P$24/12,2))</x:f>
      </x:c>
      <x:c r="F615" s="88" t="str">
        <x:f>IF(C615="","",MIN(D615+E615,$Q$24))</x:f>
      </x:c>
      <x:c r="G615" s="88" t="str">
        <x:f>IF(C615="","",MIN(MAX(0,D615+E615-F615),SUMIFS(SONDERZAHLUNGEN!$E$9:$E$128,SONDERZAHLUNGEN!$B$9:$B$128,C615,SONDERZAHLUNGEN!$C$9:$C$128,A615,SONDERZAHLUNGEN!$H$9:$H$128,"OK",SONDERZAHLUNGEN!$F$9:$F$128,"Ja")))</x:f>
      </x:c>
      <x:c r="H615" s="88" t="str">
        <x:f>IF(C615="","",MIN(MAX(0,D615+E615-F615-G615),MAX(0,IF(MONATSBUDGET!$C$37="",0,MONATSBUDGET!$C$37)-SUM(F600:F619)-SUM(H600:H614))))</x:f>
      </x:c>
      <x:c r="I615" s="88" t="str">
        <x:f>IF(C615="","",MAX(0,ROUND(D615+E615-F615-G615-H615,2)))</x:f>
      </x:c>
      <x:c r="J615" s="88" t="str">
        <x:f>IF(C615="","",F615+G615+H615)</x:f>
      </x:c>
      <x:c r="K615" s="88" t="str">
        <x:f>IF(C615="","",MAX(0,SUMIFS(SONDERZAHLUNGEN!$E$9:$E$128,SONDERZAHLUNGEN!$B$9:$B$128,C615,SONDERZAHLUNGEN!$C$9:$C$128,A615,SONDERZAHLUNGEN!$H$9:$H$128,"OK",SONDERZAHLUNGEN!$F$9:$F$128,"Ja")-G615))</x:f>
      </x:c>
    </x:row>
    <x:row r="616" ht="19" customHeight="1">
      <x:c r="A616" s="90" t="n">
        <x:f>MONATSBUDGET!$A$37</x:f>
        <x:v>47119</x:v>
      </x:c>
      <x:c r="B616" t="n">
        <x:f>17</x:f>
        <x:v>17</x:v>
      </x:c>
      <x:c r="C616" t="str">
        <x:f>IF($N$25="","",$N$25)</x:f>
      </x:c>
      <x:c r="D616" s="88" t="str">
        <x:f>IF(C616="","",I596)</x:f>
      </x:c>
      <x:c r="E616" s="88" t="str">
        <x:f>IF(C616="","",ROUND(D616*$P$25/12,2))</x:f>
      </x:c>
      <x:c r="F616" s="88" t="str">
        <x:f>IF(C616="","",MIN(D616+E616,$Q$25))</x:f>
      </x:c>
      <x:c r="G616" s="88" t="str">
        <x:f>IF(C616="","",MIN(MAX(0,D616+E616-F616),SUMIFS(SONDERZAHLUNGEN!$E$9:$E$128,SONDERZAHLUNGEN!$B$9:$B$128,C616,SONDERZAHLUNGEN!$C$9:$C$128,A616,SONDERZAHLUNGEN!$H$9:$H$128,"OK",SONDERZAHLUNGEN!$F$9:$F$128,"Ja")))</x:f>
      </x:c>
      <x:c r="H616" s="88" t="str">
        <x:f>IF(C616="","",MIN(MAX(0,D616+E616-F616-G616),MAX(0,IF(MONATSBUDGET!$C$37="",0,MONATSBUDGET!$C$37)-SUM(F600:F619)-SUM(H600:H615))))</x:f>
      </x:c>
      <x:c r="I616" s="88" t="str">
        <x:f>IF(C616="","",MAX(0,ROUND(D616+E616-F616-G616-H616,2)))</x:f>
      </x:c>
      <x:c r="J616" s="88" t="str">
        <x:f>IF(C616="","",F616+G616+H616)</x:f>
      </x:c>
      <x:c r="K616" s="88" t="str">
        <x:f>IF(C616="","",MAX(0,SUMIFS(SONDERZAHLUNGEN!$E$9:$E$128,SONDERZAHLUNGEN!$B$9:$B$128,C616,SONDERZAHLUNGEN!$C$9:$C$128,A616,SONDERZAHLUNGEN!$H$9:$H$128,"OK",SONDERZAHLUNGEN!$F$9:$F$128,"Ja")-G616))</x:f>
      </x:c>
    </x:row>
    <x:row r="617" ht="19" customHeight="1">
      <x:c r="A617" s="90" t="n">
        <x:f>MONATSBUDGET!$A$37</x:f>
        <x:v>47119</x:v>
      </x:c>
      <x:c r="B617" t="n">
        <x:f>18</x:f>
        <x:v>18</x:v>
      </x:c>
      <x:c r="C617" t="str">
        <x:f>IF($N$26="","",$N$26)</x:f>
      </x:c>
      <x:c r="D617" s="88" t="str">
        <x:f>IF(C617="","",I597)</x:f>
      </x:c>
      <x:c r="E617" s="88" t="str">
        <x:f>IF(C617="","",ROUND(D617*$P$26/12,2))</x:f>
      </x:c>
      <x:c r="F617" s="88" t="str">
        <x:f>IF(C617="","",MIN(D617+E617,$Q$26))</x:f>
      </x:c>
      <x:c r="G617" s="88" t="str">
        <x:f>IF(C617="","",MIN(MAX(0,D617+E617-F617),SUMIFS(SONDERZAHLUNGEN!$E$9:$E$128,SONDERZAHLUNGEN!$B$9:$B$128,C617,SONDERZAHLUNGEN!$C$9:$C$128,A617,SONDERZAHLUNGEN!$H$9:$H$128,"OK",SONDERZAHLUNGEN!$F$9:$F$128,"Ja")))</x:f>
      </x:c>
      <x:c r="H617" s="88" t="str">
        <x:f>IF(C617="","",MIN(MAX(0,D617+E617-F617-G617),MAX(0,IF(MONATSBUDGET!$C$37="",0,MONATSBUDGET!$C$37)-SUM(F600:F619)-SUM(H600:H616))))</x:f>
      </x:c>
      <x:c r="I617" s="88" t="str">
        <x:f>IF(C617="","",MAX(0,ROUND(D617+E617-F617-G617-H617,2)))</x:f>
      </x:c>
      <x:c r="J617" s="88" t="str">
        <x:f>IF(C617="","",F617+G617+H617)</x:f>
      </x:c>
      <x:c r="K617" s="88" t="str">
        <x:f>IF(C617="","",MAX(0,SUMIFS(SONDERZAHLUNGEN!$E$9:$E$128,SONDERZAHLUNGEN!$B$9:$B$128,C617,SONDERZAHLUNGEN!$C$9:$C$128,A617,SONDERZAHLUNGEN!$H$9:$H$128,"OK",SONDERZAHLUNGEN!$F$9:$F$128,"Ja")-G617))</x:f>
      </x:c>
    </x:row>
    <x:row r="618" ht="19" customHeight="1">
      <x:c r="A618" s="90" t="n">
        <x:f>MONATSBUDGET!$A$37</x:f>
        <x:v>47119</x:v>
      </x:c>
      <x:c r="B618" t="n">
        <x:f>19</x:f>
        <x:v>19</x:v>
      </x:c>
      <x:c r="C618" t="str">
        <x:f>IF($N$27="","",$N$27)</x:f>
      </x:c>
      <x:c r="D618" s="88" t="str">
        <x:f>IF(C618="","",I598)</x:f>
      </x:c>
      <x:c r="E618" s="88" t="str">
        <x:f>IF(C618="","",ROUND(D618*$P$27/12,2))</x:f>
      </x:c>
      <x:c r="F618" s="88" t="str">
        <x:f>IF(C618="","",MIN(D618+E618,$Q$27))</x:f>
      </x:c>
      <x:c r="G618" s="88" t="str">
        <x:f>IF(C618="","",MIN(MAX(0,D618+E618-F618),SUMIFS(SONDERZAHLUNGEN!$E$9:$E$128,SONDERZAHLUNGEN!$B$9:$B$128,C618,SONDERZAHLUNGEN!$C$9:$C$128,A618,SONDERZAHLUNGEN!$H$9:$H$128,"OK",SONDERZAHLUNGEN!$F$9:$F$128,"Ja")))</x:f>
      </x:c>
      <x:c r="H618" s="88" t="str">
        <x:f>IF(C618="","",MIN(MAX(0,D618+E618-F618-G618),MAX(0,IF(MONATSBUDGET!$C$37="",0,MONATSBUDGET!$C$37)-SUM(F600:F619)-SUM(H600:H617))))</x:f>
      </x:c>
      <x:c r="I618" s="88" t="str">
        <x:f>IF(C618="","",MAX(0,ROUND(D618+E618-F618-G618-H618,2)))</x:f>
      </x:c>
      <x:c r="J618" s="88" t="str">
        <x:f>IF(C618="","",F618+G618+H618)</x:f>
      </x:c>
      <x:c r="K618" s="88" t="str">
        <x:f>IF(C618="","",MAX(0,SUMIFS(SONDERZAHLUNGEN!$E$9:$E$128,SONDERZAHLUNGEN!$B$9:$B$128,C618,SONDERZAHLUNGEN!$C$9:$C$128,A618,SONDERZAHLUNGEN!$H$9:$H$128,"OK",SONDERZAHLUNGEN!$F$9:$F$128,"Ja")-G618))</x:f>
      </x:c>
    </x:row>
    <x:row r="619" ht="19" customHeight="1">
      <x:c r="A619" s="90" t="n">
        <x:f>MONATSBUDGET!$A$37</x:f>
        <x:v>47119</x:v>
      </x:c>
      <x:c r="B619" t="n">
        <x:f>20</x:f>
        <x:v>20</x:v>
      </x:c>
      <x:c r="C619" t="str">
        <x:f>IF($N$28="","",$N$28)</x:f>
      </x:c>
      <x:c r="D619" s="88" t="str">
        <x:f>IF(C619="","",I599)</x:f>
      </x:c>
      <x:c r="E619" s="88" t="str">
        <x:f>IF(C619="","",ROUND(D619*$P$28/12,2))</x:f>
      </x:c>
      <x:c r="F619" s="88" t="str">
        <x:f>IF(C619="","",MIN(D619+E619,$Q$28))</x:f>
      </x:c>
      <x:c r="G619" s="88" t="str">
        <x:f>IF(C619="","",MIN(MAX(0,D619+E619-F619),SUMIFS(SONDERZAHLUNGEN!$E$9:$E$128,SONDERZAHLUNGEN!$B$9:$B$128,C619,SONDERZAHLUNGEN!$C$9:$C$128,A619,SONDERZAHLUNGEN!$H$9:$H$128,"OK",SONDERZAHLUNGEN!$F$9:$F$128,"Ja")))</x:f>
      </x:c>
      <x:c r="H619" s="88" t="str">
        <x:f>IF(C619="","",MIN(MAX(0,D619+E619-F619-G619),MAX(0,IF(MONATSBUDGET!$C$37="",0,MONATSBUDGET!$C$37)-SUM(F600:F619)-SUM(H600:H618))))</x:f>
      </x:c>
      <x:c r="I619" s="88" t="str">
        <x:f>IF(C619="","",MAX(0,ROUND(D619+E619-F619-G619-H619,2)))</x:f>
      </x:c>
      <x:c r="J619" s="88" t="str">
        <x:f>IF(C619="","",F619+G619+H619)</x:f>
      </x:c>
      <x:c r="K619" s="88" t="str">
        <x:f>IF(C619="","",MAX(0,SUMIFS(SONDERZAHLUNGEN!$E$9:$E$128,SONDERZAHLUNGEN!$B$9:$B$128,C619,SONDERZAHLUNGEN!$C$9:$C$128,A619,SONDERZAHLUNGEN!$H$9:$H$128,"OK",SONDERZAHLUNGEN!$F$9:$F$128,"Ja")-G619))</x:f>
      </x:c>
    </x:row>
    <x:row r="620" ht="19" customHeight="1">
      <x:c r="A620" s="90" t="n">
        <x:f>MONATSBUDGET!$A$38</x:f>
        <x:v>47150</x:v>
      </x:c>
      <x:c r="B620" t="n">
        <x:f>1</x:f>
        <x:v>1</x:v>
      </x:c>
      <x:c r="C620" t="str">
        <x:f>IF($N$9="","",$N$9)</x:f>
      </x:c>
      <x:c r="D620" s="88" t="str">
        <x:f>IF(C620="","",I600)</x:f>
      </x:c>
      <x:c r="E620" s="88" t="str">
        <x:f>IF(C620="","",ROUND(D620*$P$9/12,2))</x:f>
      </x:c>
      <x:c r="F620" s="88" t="str">
        <x:f>IF(C620="","",MIN(D620+E620,$Q$9))</x:f>
      </x:c>
      <x:c r="G620" s="88" t="str">
        <x:f>IF(C620="","",MIN(MAX(0,D620+E620-F620),SUMIFS(SONDERZAHLUNGEN!$E$9:$E$128,SONDERZAHLUNGEN!$B$9:$B$128,C620,SONDERZAHLUNGEN!$C$9:$C$128,A620,SONDERZAHLUNGEN!$H$9:$H$128,"OK",SONDERZAHLUNGEN!$F$9:$F$128,"Ja")))</x:f>
      </x:c>
      <x:c r="H620" s="88" t="str">
        <x:f>IF(C620="","",MIN(MAX(0,D620+E620-F620-G620),MAX(0,IF(MONATSBUDGET!$C$38="",0,MONATSBUDGET!$C$38)-SUM(F620:F639)-0)))</x:f>
      </x:c>
      <x:c r="I620" s="88" t="str">
        <x:f>IF(C620="","",MAX(0,ROUND(D620+E620-F620-G620-H620,2)))</x:f>
      </x:c>
      <x:c r="J620" s="88" t="str">
        <x:f>IF(C620="","",F620+G620+H620)</x:f>
      </x:c>
      <x:c r="K620" s="88" t="str">
        <x:f>IF(C620="","",MAX(0,SUMIFS(SONDERZAHLUNGEN!$E$9:$E$128,SONDERZAHLUNGEN!$B$9:$B$128,C620,SONDERZAHLUNGEN!$C$9:$C$128,A620,SONDERZAHLUNGEN!$H$9:$H$128,"OK",SONDERZAHLUNGEN!$F$9:$F$128,"Ja")-G620))</x:f>
      </x:c>
    </x:row>
    <x:row r="621" ht="19" customHeight="1">
      <x:c r="A621" s="90" t="n">
        <x:f>MONATSBUDGET!$A$38</x:f>
        <x:v>47150</x:v>
      </x:c>
      <x:c r="B621" t="n">
        <x:f>2</x:f>
        <x:v>2</x:v>
      </x:c>
      <x:c r="C621" t="str">
        <x:f>IF($N$10="","",$N$10)</x:f>
      </x:c>
      <x:c r="D621" s="88" t="str">
        <x:f>IF(C621="","",I601)</x:f>
      </x:c>
      <x:c r="E621" s="88" t="str">
        <x:f>IF(C621="","",ROUND(D621*$P$10/12,2))</x:f>
      </x:c>
      <x:c r="F621" s="88" t="str">
        <x:f>IF(C621="","",MIN(D621+E621,$Q$10))</x:f>
      </x:c>
      <x:c r="G621" s="88" t="str">
        <x:f>IF(C621="","",MIN(MAX(0,D621+E621-F621),SUMIFS(SONDERZAHLUNGEN!$E$9:$E$128,SONDERZAHLUNGEN!$B$9:$B$128,C621,SONDERZAHLUNGEN!$C$9:$C$128,A621,SONDERZAHLUNGEN!$H$9:$H$128,"OK",SONDERZAHLUNGEN!$F$9:$F$128,"Ja")))</x:f>
      </x:c>
      <x:c r="H621" s="88" t="str">
        <x:f>IF(C621="","",MIN(MAX(0,D621+E621-F621-G621),MAX(0,IF(MONATSBUDGET!$C$38="",0,MONATSBUDGET!$C$38)-SUM(F620:F639)-SUM(H620:H620))))</x:f>
      </x:c>
      <x:c r="I621" s="88" t="str">
        <x:f>IF(C621="","",MAX(0,ROUND(D621+E621-F621-G621-H621,2)))</x:f>
      </x:c>
      <x:c r="J621" s="88" t="str">
        <x:f>IF(C621="","",F621+G621+H621)</x:f>
      </x:c>
      <x:c r="K621" s="88" t="str">
        <x:f>IF(C621="","",MAX(0,SUMIFS(SONDERZAHLUNGEN!$E$9:$E$128,SONDERZAHLUNGEN!$B$9:$B$128,C621,SONDERZAHLUNGEN!$C$9:$C$128,A621,SONDERZAHLUNGEN!$H$9:$H$128,"OK",SONDERZAHLUNGEN!$F$9:$F$128,"Ja")-G621))</x:f>
      </x:c>
    </x:row>
    <x:row r="622" ht="19" customHeight="1">
      <x:c r="A622" s="90" t="n">
        <x:f>MONATSBUDGET!$A$38</x:f>
        <x:v>47150</x:v>
      </x:c>
      <x:c r="B622" t="n">
        <x:f>3</x:f>
        <x:v>3</x:v>
      </x:c>
      <x:c r="C622" t="str">
        <x:f>IF($N$11="","",$N$11)</x:f>
      </x:c>
      <x:c r="D622" s="88" t="str">
        <x:f>IF(C622="","",I602)</x:f>
      </x:c>
      <x:c r="E622" s="88" t="str">
        <x:f>IF(C622="","",ROUND(D622*$P$11/12,2))</x:f>
      </x:c>
      <x:c r="F622" s="88" t="str">
        <x:f>IF(C622="","",MIN(D622+E622,$Q$11))</x:f>
      </x:c>
      <x:c r="G622" s="88" t="str">
        <x:f>IF(C622="","",MIN(MAX(0,D622+E622-F622),SUMIFS(SONDERZAHLUNGEN!$E$9:$E$128,SONDERZAHLUNGEN!$B$9:$B$128,C622,SONDERZAHLUNGEN!$C$9:$C$128,A622,SONDERZAHLUNGEN!$H$9:$H$128,"OK",SONDERZAHLUNGEN!$F$9:$F$128,"Ja")))</x:f>
      </x:c>
      <x:c r="H622" s="88" t="str">
        <x:f>IF(C622="","",MIN(MAX(0,D622+E622-F622-G622),MAX(0,IF(MONATSBUDGET!$C$38="",0,MONATSBUDGET!$C$38)-SUM(F620:F639)-SUM(H620:H621))))</x:f>
      </x:c>
      <x:c r="I622" s="88" t="str">
        <x:f>IF(C622="","",MAX(0,ROUND(D622+E622-F622-G622-H622,2)))</x:f>
      </x:c>
      <x:c r="J622" s="88" t="str">
        <x:f>IF(C622="","",F622+G622+H622)</x:f>
      </x:c>
      <x:c r="K622" s="88" t="str">
        <x:f>IF(C622="","",MAX(0,SUMIFS(SONDERZAHLUNGEN!$E$9:$E$128,SONDERZAHLUNGEN!$B$9:$B$128,C622,SONDERZAHLUNGEN!$C$9:$C$128,A622,SONDERZAHLUNGEN!$H$9:$H$128,"OK",SONDERZAHLUNGEN!$F$9:$F$128,"Ja")-G622))</x:f>
      </x:c>
    </x:row>
    <x:row r="623" ht="19" customHeight="1">
      <x:c r="A623" s="90" t="n">
        <x:f>MONATSBUDGET!$A$38</x:f>
        <x:v>47150</x:v>
      </x:c>
      <x:c r="B623" t="n">
        <x:f>4</x:f>
        <x:v>4</x:v>
      </x:c>
      <x:c r="C623" t="str">
        <x:f>IF($N$12="","",$N$12)</x:f>
      </x:c>
      <x:c r="D623" s="88" t="str">
        <x:f>IF(C623="","",I603)</x:f>
      </x:c>
      <x:c r="E623" s="88" t="str">
        <x:f>IF(C623="","",ROUND(D623*$P$12/12,2))</x:f>
      </x:c>
      <x:c r="F623" s="88" t="str">
        <x:f>IF(C623="","",MIN(D623+E623,$Q$12))</x:f>
      </x:c>
      <x:c r="G623" s="88" t="str">
        <x:f>IF(C623="","",MIN(MAX(0,D623+E623-F623),SUMIFS(SONDERZAHLUNGEN!$E$9:$E$128,SONDERZAHLUNGEN!$B$9:$B$128,C623,SONDERZAHLUNGEN!$C$9:$C$128,A623,SONDERZAHLUNGEN!$H$9:$H$128,"OK",SONDERZAHLUNGEN!$F$9:$F$128,"Ja")))</x:f>
      </x:c>
      <x:c r="H623" s="88" t="str">
        <x:f>IF(C623="","",MIN(MAX(0,D623+E623-F623-G623),MAX(0,IF(MONATSBUDGET!$C$38="",0,MONATSBUDGET!$C$38)-SUM(F620:F639)-SUM(H620:H622))))</x:f>
      </x:c>
      <x:c r="I623" s="88" t="str">
        <x:f>IF(C623="","",MAX(0,ROUND(D623+E623-F623-G623-H623,2)))</x:f>
      </x:c>
      <x:c r="J623" s="88" t="str">
        <x:f>IF(C623="","",F623+G623+H623)</x:f>
      </x:c>
      <x:c r="K623" s="88" t="str">
        <x:f>IF(C623="","",MAX(0,SUMIFS(SONDERZAHLUNGEN!$E$9:$E$128,SONDERZAHLUNGEN!$B$9:$B$128,C623,SONDERZAHLUNGEN!$C$9:$C$128,A623,SONDERZAHLUNGEN!$H$9:$H$128,"OK",SONDERZAHLUNGEN!$F$9:$F$128,"Ja")-G623))</x:f>
      </x:c>
    </x:row>
    <x:row r="624" ht="19" customHeight="1">
      <x:c r="A624" s="90" t="n">
        <x:f>MONATSBUDGET!$A$38</x:f>
        <x:v>47150</x:v>
      </x:c>
      <x:c r="B624" t="n">
        <x:f>5</x:f>
        <x:v>5</x:v>
      </x:c>
      <x:c r="C624" t="str">
        <x:f>IF($N$13="","",$N$13)</x:f>
      </x:c>
      <x:c r="D624" s="88" t="str">
        <x:f>IF(C624="","",I604)</x:f>
      </x:c>
      <x:c r="E624" s="88" t="str">
        <x:f>IF(C624="","",ROUND(D624*$P$13/12,2))</x:f>
      </x:c>
      <x:c r="F624" s="88" t="str">
        <x:f>IF(C624="","",MIN(D624+E624,$Q$13))</x:f>
      </x:c>
      <x:c r="G624" s="88" t="str">
        <x:f>IF(C624="","",MIN(MAX(0,D624+E624-F624),SUMIFS(SONDERZAHLUNGEN!$E$9:$E$128,SONDERZAHLUNGEN!$B$9:$B$128,C624,SONDERZAHLUNGEN!$C$9:$C$128,A624,SONDERZAHLUNGEN!$H$9:$H$128,"OK",SONDERZAHLUNGEN!$F$9:$F$128,"Ja")))</x:f>
      </x:c>
      <x:c r="H624" s="88" t="str">
        <x:f>IF(C624="","",MIN(MAX(0,D624+E624-F624-G624),MAX(0,IF(MONATSBUDGET!$C$38="",0,MONATSBUDGET!$C$38)-SUM(F620:F639)-SUM(H620:H623))))</x:f>
      </x:c>
      <x:c r="I624" s="88" t="str">
        <x:f>IF(C624="","",MAX(0,ROUND(D624+E624-F624-G624-H624,2)))</x:f>
      </x:c>
      <x:c r="J624" s="88" t="str">
        <x:f>IF(C624="","",F624+G624+H624)</x:f>
      </x:c>
      <x:c r="K624" s="88" t="str">
        <x:f>IF(C624="","",MAX(0,SUMIFS(SONDERZAHLUNGEN!$E$9:$E$128,SONDERZAHLUNGEN!$B$9:$B$128,C624,SONDERZAHLUNGEN!$C$9:$C$128,A624,SONDERZAHLUNGEN!$H$9:$H$128,"OK",SONDERZAHLUNGEN!$F$9:$F$128,"Ja")-G624))</x:f>
      </x:c>
    </x:row>
    <x:row r="625" ht="19" customHeight="1">
      <x:c r="A625" s="90" t="n">
        <x:f>MONATSBUDGET!$A$38</x:f>
        <x:v>47150</x:v>
      </x:c>
      <x:c r="B625" t="n">
        <x:f>6</x:f>
        <x:v>6</x:v>
      </x:c>
      <x:c r="C625" t="str">
        <x:f>IF($N$14="","",$N$14)</x:f>
      </x:c>
      <x:c r="D625" s="88" t="str">
        <x:f>IF(C625="","",I605)</x:f>
      </x:c>
      <x:c r="E625" s="88" t="str">
        <x:f>IF(C625="","",ROUND(D625*$P$14/12,2))</x:f>
      </x:c>
      <x:c r="F625" s="88" t="str">
        <x:f>IF(C625="","",MIN(D625+E625,$Q$14))</x:f>
      </x:c>
      <x:c r="G625" s="88" t="str">
        <x:f>IF(C625="","",MIN(MAX(0,D625+E625-F625),SUMIFS(SONDERZAHLUNGEN!$E$9:$E$128,SONDERZAHLUNGEN!$B$9:$B$128,C625,SONDERZAHLUNGEN!$C$9:$C$128,A625,SONDERZAHLUNGEN!$H$9:$H$128,"OK",SONDERZAHLUNGEN!$F$9:$F$128,"Ja")))</x:f>
      </x:c>
      <x:c r="H625" s="88" t="str">
        <x:f>IF(C625="","",MIN(MAX(0,D625+E625-F625-G625),MAX(0,IF(MONATSBUDGET!$C$38="",0,MONATSBUDGET!$C$38)-SUM(F620:F639)-SUM(H620:H624))))</x:f>
      </x:c>
      <x:c r="I625" s="88" t="str">
        <x:f>IF(C625="","",MAX(0,ROUND(D625+E625-F625-G625-H625,2)))</x:f>
      </x:c>
      <x:c r="J625" s="88" t="str">
        <x:f>IF(C625="","",F625+G625+H625)</x:f>
      </x:c>
      <x:c r="K625" s="88" t="str">
        <x:f>IF(C625="","",MAX(0,SUMIFS(SONDERZAHLUNGEN!$E$9:$E$128,SONDERZAHLUNGEN!$B$9:$B$128,C625,SONDERZAHLUNGEN!$C$9:$C$128,A625,SONDERZAHLUNGEN!$H$9:$H$128,"OK",SONDERZAHLUNGEN!$F$9:$F$128,"Ja")-G625))</x:f>
      </x:c>
    </x:row>
    <x:row r="626" ht="19" customHeight="1">
      <x:c r="A626" s="90" t="n">
        <x:f>MONATSBUDGET!$A$38</x:f>
        <x:v>47150</x:v>
      </x:c>
      <x:c r="B626" t="n">
        <x:f>7</x:f>
        <x:v>7</x:v>
      </x:c>
      <x:c r="C626" t="str">
        <x:f>IF($N$15="","",$N$15)</x:f>
      </x:c>
      <x:c r="D626" s="88" t="str">
        <x:f>IF(C626="","",I606)</x:f>
      </x:c>
      <x:c r="E626" s="88" t="str">
        <x:f>IF(C626="","",ROUND(D626*$P$15/12,2))</x:f>
      </x:c>
      <x:c r="F626" s="88" t="str">
        <x:f>IF(C626="","",MIN(D626+E626,$Q$15))</x:f>
      </x:c>
      <x:c r="G626" s="88" t="str">
        <x:f>IF(C626="","",MIN(MAX(0,D626+E626-F626),SUMIFS(SONDERZAHLUNGEN!$E$9:$E$128,SONDERZAHLUNGEN!$B$9:$B$128,C626,SONDERZAHLUNGEN!$C$9:$C$128,A626,SONDERZAHLUNGEN!$H$9:$H$128,"OK",SONDERZAHLUNGEN!$F$9:$F$128,"Ja")))</x:f>
      </x:c>
      <x:c r="H626" s="88" t="str">
        <x:f>IF(C626="","",MIN(MAX(0,D626+E626-F626-G626),MAX(0,IF(MONATSBUDGET!$C$38="",0,MONATSBUDGET!$C$38)-SUM(F620:F639)-SUM(H620:H625))))</x:f>
      </x:c>
      <x:c r="I626" s="88" t="str">
        <x:f>IF(C626="","",MAX(0,ROUND(D626+E626-F626-G626-H626,2)))</x:f>
      </x:c>
      <x:c r="J626" s="88" t="str">
        <x:f>IF(C626="","",F626+G626+H626)</x:f>
      </x:c>
      <x:c r="K626" s="88" t="str">
        <x:f>IF(C626="","",MAX(0,SUMIFS(SONDERZAHLUNGEN!$E$9:$E$128,SONDERZAHLUNGEN!$B$9:$B$128,C626,SONDERZAHLUNGEN!$C$9:$C$128,A626,SONDERZAHLUNGEN!$H$9:$H$128,"OK",SONDERZAHLUNGEN!$F$9:$F$128,"Ja")-G626))</x:f>
      </x:c>
    </x:row>
    <x:row r="627" ht="19" customHeight="1">
      <x:c r="A627" s="90" t="n">
        <x:f>MONATSBUDGET!$A$38</x:f>
        <x:v>47150</x:v>
      </x:c>
      <x:c r="B627" t="n">
        <x:f>8</x:f>
        <x:v>8</x:v>
      </x:c>
      <x:c r="C627" t="str">
        <x:f>IF($N$16="","",$N$16)</x:f>
      </x:c>
      <x:c r="D627" s="88" t="str">
        <x:f>IF(C627="","",I607)</x:f>
      </x:c>
      <x:c r="E627" s="88" t="str">
        <x:f>IF(C627="","",ROUND(D627*$P$16/12,2))</x:f>
      </x:c>
      <x:c r="F627" s="88" t="str">
        <x:f>IF(C627="","",MIN(D627+E627,$Q$16))</x:f>
      </x:c>
      <x:c r="G627" s="88" t="str">
        <x:f>IF(C627="","",MIN(MAX(0,D627+E627-F627),SUMIFS(SONDERZAHLUNGEN!$E$9:$E$128,SONDERZAHLUNGEN!$B$9:$B$128,C627,SONDERZAHLUNGEN!$C$9:$C$128,A627,SONDERZAHLUNGEN!$H$9:$H$128,"OK",SONDERZAHLUNGEN!$F$9:$F$128,"Ja")))</x:f>
      </x:c>
      <x:c r="H627" s="88" t="str">
        <x:f>IF(C627="","",MIN(MAX(0,D627+E627-F627-G627),MAX(0,IF(MONATSBUDGET!$C$38="",0,MONATSBUDGET!$C$38)-SUM(F620:F639)-SUM(H620:H626))))</x:f>
      </x:c>
      <x:c r="I627" s="88" t="str">
        <x:f>IF(C627="","",MAX(0,ROUND(D627+E627-F627-G627-H627,2)))</x:f>
      </x:c>
      <x:c r="J627" s="88" t="str">
        <x:f>IF(C627="","",F627+G627+H627)</x:f>
      </x:c>
      <x:c r="K627" s="88" t="str">
        <x:f>IF(C627="","",MAX(0,SUMIFS(SONDERZAHLUNGEN!$E$9:$E$128,SONDERZAHLUNGEN!$B$9:$B$128,C627,SONDERZAHLUNGEN!$C$9:$C$128,A627,SONDERZAHLUNGEN!$H$9:$H$128,"OK",SONDERZAHLUNGEN!$F$9:$F$128,"Ja")-G627))</x:f>
      </x:c>
    </x:row>
    <x:row r="628" ht="19" customHeight="1">
      <x:c r="A628" s="90" t="n">
        <x:f>MONATSBUDGET!$A$38</x:f>
        <x:v>47150</x:v>
      </x:c>
      <x:c r="B628" t="n">
        <x:f>9</x:f>
        <x:v>9</x:v>
      </x:c>
      <x:c r="C628" t="str">
        <x:f>IF($N$17="","",$N$17)</x:f>
      </x:c>
      <x:c r="D628" s="88" t="str">
        <x:f>IF(C628="","",I608)</x:f>
      </x:c>
      <x:c r="E628" s="88" t="str">
        <x:f>IF(C628="","",ROUND(D628*$P$17/12,2))</x:f>
      </x:c>
      <x:c r="F628" s="88" t="str">
        <x:f>IF(C628="","",MIN(D628+E628,$Q$17))</x:f>
      </x:c>
      <x:c r="G628" s="88" t="str">
        <x:f>IF(C628="","",MIN(MAX(0,D628+E628-F628),SUMIFS(SONDERZAHLUNGEN!$E$9:$E$128,SONDERZAHLUNGEN!$B$9:$B$128,C628,SONDERZAHLUNGEN!$C$9:$C$128,A628,SONDERZAHLUNGEN!$H$9:$H$128,"OK",SONDERZAHLUNGEN!$F$9:$F$128,"Ja")))</x:f>
      </x:c>
      <x:c r="H628" s="88" t="str">
        <x:f>IF(C628="","",MIN(MAX(0,D628+E628-F628-G628),MAX(0,IF(MONATSBUDGET!$C$38="",0,MONATSBUDGET!$C$38)-SUM(F620:F639)-SUM(H620:H627))))</x:f>
      </x:c>
      <x:c r="I628" s="88" t="str">
        <x:f>IF(C628="","",MAX(0,ROUND(D628+E628-F628-G628-H628,2)))</x:f>
      </x:c>
      <x:c r="J628" s="88" t="str">
        <x:f>IF(C628="","",F628+G628+H628)</x:f>
      </x:c>
      <x:c r="K628" s="88" t="str">
        <x:f>IF(C628="","",MAX(0,SUMIFS(SONDERZAHLUNGEN!$E$9:$E$128,SONDERZAHLUNGEN!$B$9:$B$128,C628,SONDERZAHLUNGEN!$C$9:$C$128,A628,SONDERZAHLUNGEN!$H$9:$H$128,"OK",SONDERZAHLUNGEN!$F$9:$F$128,"Ja")-G628))</x:f>
      </x:c>
    </x:row>
    <x:row r="629" ht="19" customHeight="1">
      <x:c r="A629" s="90" t="n">
        <x:f>MONATSBUDGET!$A$38</x:f>
        <x:v>47150</x:v>
      </x:c>
      <x:c r="B629" t="n">
        <x:f>10</x:f>
        <x:v>10</x:v>
      </x:c>
      <x:c r="C629" t="str">
        <x:f>IF($N$18="","",$N$18)</x:f>
      </x:c>
      <x:c r="D629" s="88" t="str">
        <x:f>IF(C629="","",I609)</x:f>
      </x:c>
      <x:c r="E629" s="88" t="str">
        <x:f>IF(C629="","",ROUND(D629*$P$18/12,2))</x:f>
      </x:c>
      <x:c r="F629" s="88" t="str">
        <x:f>IF(C629="","",MIN(D629+E629,$Q$18))</x:f>
      </x:c>
      <x:c r="G629" s="88" t="str">
        <x:f>IF(C629="","",MIN(MAX(0,D629+E629-F629),SUMIFS(SONDERZAHLUNGEN!$E$9:$E$128,SONDERZAHLUNGEN!$B$9:$B$128,C629,SONDERZAHLUNGEN!$C$9:$C$128,A629,SONDERZAHLUNGEN!$H$9:$H$128,"OK",SONDERZAHLUNGEN!$F$9:$F$128,"Ja")))</x:f>
      </x:c>
      <x:c r="H629" s="88" t="str">
        <x:f>IF(C629="","",MIN(MAX(0,D629+E629-F629-G629),MAX(0,IF(MONATSBUDGET!$C$38="",0,MONATSBUDGET!$C$38)-SUM(F620:F639)-SUM(H620:H628))))</x:f>
      </x:c>
      <x:c r="I629" s="88" t="str">
        <x:f>IF(C629="","",MAX(0,ROUND(D629+E629-F629-G629-H629,2)))</x:f>
      </x:c>
      <x:c r="J629" s="88" t="str">
        <x:f>IF(C629="","",F629+G629+H629)</x:f>
      </x:c>
      <x:c r="K629" s="88" t="str">
        <x:f>IF(C629="","",MAX(0,SUMIFS(SONDERZAHLUNGEN!$E$9:$E$128,SONDERZAHLUNGEN!$B$9:$B$128,C629,SONDERZAHLUNGEN!$C$9:$C$128,A629,SONDERZAHLUNGEN!$H$9:$H$128,"OK",SONDERZAHLUNGEN!$F$9:$F$128,"Ja")-G629))</x:f>
      </x:c>
    </x:row>
    <x:row r="630" ht="19" customHeight="1">
      <x:c r="A630" s="90" t="n">
        <x:f>MONATSBUDGET!$A$38</x:f>
        <x:v>47150</x:v>
      </x:c>
      <x:c r="B630" t="n">
        <x:f>11</x:f>
        <x:v>11</x:v>
      </x:c>
      <x:c r="C630" t="str">
        <x:f>IF($N$19="","",$N$19)</x:f>
      </x:c>
      <x:c r="D630" s="88" t="str">
        <x:f>IF(C630="","",I610)</x:f>
      </x:c>
      <x:c r="E630" s="88" t="str">
        <x:f>IF(C630="","",ROUND(D630*$P$19/12,2))</x:f>
      </x:c>
      <x:c r="F630" s="88" t="str">
        <x:f>IF(C630="","",MIN(D630+E630,$Q$19))</x:f>
      </x:c>
      <x:c r="G630" s="88" t="str">
        <x:f>IF(C630="","",MIN(MAX(0,D630+E630-F630),SUMIFS(SONDERZAHLUNGEN!$E$9:$E$128,SONDERZAHLUNGEN!$B$9:$B$128,C630,SONDERZAHLUNGEN!$C$9:$C$128,A630,SONDERZAHLUNGEN!$H$9:$H$128,"OK",SONDERZAHLUNGEN!$F$9:$F$128,"Ja")))</x:f>
      </x:c>
      <x:c r="H630" s="88" t="str">
        <x:f>IF(C630="","",MIN(MAX(0,D630+E630-F630-G630),MAX(0,IF(MONATSBUDGET!$C$38="",0,MONATSBUDGET!$C$38)-SUM(F620:F639)-SUM(H620:H629))))</x:f>
      </x:c>
      <x:c r="I630" s="88" t="str">
        <x:f>IF(C630="","",MAX(0,ROUND(D630+E630-F630-G630-H630,2)))</x:f>
      </x:c>
      <x:c r="J630" s="88" t="str">
        <x:f>IF(C630="","",F630+G630+H630)</x:f>
      </x:c>
      <x:c r="K630" s="88" t="str">
        <x:f>IF(C630="","",MAX(0,SUMIFS(SONDERZAHLUNGEN!$E$9:$E$128,SONDERZAHLUNGEN!$B$9:$B$128,C630,SONDERZAHLUNGEN!$C$9:$C$128,A630,SONDERZAHLUNGEN!$H$9:$H$128,"OK",SONDERZAHLUNGEN!$F$9:$F$128,"Ja")-G630))</x:f>
      </x:c>
    </x:row>
    <x:row r="631" ht="19" customHeight="1">
      <x:c r="A631" s="90" t="n">
        <x:f>MONATSBUDGET!$A$38</x:f>
        <x:v>47150</x:v>
      </x:c>
      <x:c r="B631" t="n">
        <x:f>12</x:f>
        <x:v>12</x:v>
      </x:c>
      <x:c r="C631" t="str">
        <x:f>IF($N$20="","",$N$20)</x:f>
      </x:c>
      <x:c r="D631" s="88" t="str">
        <x:f>IF(C631="","",I611)</x:f>
      </x:c>
      <x:c r="E631" s="88" t="str">
        <x:f>IF(C631="","",ROUND(D631*$P$20/12,2))</x:f>
      </x:c>
      <x:c r="F631" s="88" t="str">
        <x:f>IF(C631="","",MIN(D631+E631,$Q$20))</x:f>
      </x:c>
      <x:c r="G631" s="88" t="str">
        <x:f>IF(C631="","",MIN(MAX(0,D631+E631-F631),SUMIFS(SONDERZAHLUNGEN!$E$9:$E$128,SONDERZAHLUNGEN!$B$9:$B$128,C631,SONDERZAHLUNGEN!$C$9:$C$128,A631,SONDERZAHLUNGEN!$H$9:$H$128,"OK",SONDERZAHLUNGEN!$F$9:$F$128,"Ja")))</x:f>
      </x:c>
      <x:c r="H631" s="88" t="str">
        <x:f>IF(C631="","",MIN(MAX(0,D631+E631-F631-G631),MAX(0,IF(MONATSBUDGET!$C$38="",0,MONATSBUDGET!$C$38)-SUM(F620:F639)-SUM(H620:H630))))</x:f>
      </x:c>
      <x:c r="I631" s="88" t="str">
        <x:f>IF(C631="","",MAX(0,ROUND(D631+E631-F631-G631-H631,2)))</x:f>
      </x:c>
      <x:c r="J631" s="88" t="str">
        <x:f>IF(C631="","",F631+G631+H631)</x:f>
      </x:c>
      <x:c r="K631" s="88" t="str">
        <x:f>IF(C631="","",MAX(0,SUMIFS(SONDERZAHLUNGEN!$E$9:$E$128,SONDERZAHLUNGEN!$B$9:$B$128,C631,SONDERZAHLUNGEN!$C$9:$C$128,A631,SONDERZAHLUNGEN!$H$9:$H$128,"OK",SONDERZAHLUNGEN!$F$9:$F$128,"Ja")-G631))</x:f>
      </x:c>
    </x:row>
    <x:row r="632" ht="19" customHeight="1">
      <x:c r="A632" s="90" t="n">
        <x:f>MONATSBUDGET!$A$38</x:f>
        <x:v>47150</x:v>
      </x:c>
      <x:c r="B632" t="n">
        <x:f>13</x:f>
        <x:v>13</x:v>
      </x:c>
      <x:c r="C632" t="str">
        <x:f>IF($N$21="","",$N$21)</x:f>
      </x:c>
      <x:c r="D632" s="88" t="str">
        <x:f>IF(C632="","",I612)</x:f>
      </x:c>
      <x:c r="E632" s="88" t="str">
        <x:f>IF(C632="","",ROUND(D632*$P$21/12,2))</x:f>
      </x:c>
      <x:c r="F632" s="88" t="str">
        <x:f>IF(C632="","",MIN(D632+E632,$Q$21))</x:f>
      </x:c>
      <x:c r="G632" s="88" t="str">
        <x:f>IF(C632="","",MIN(MAX(0,D632+E632-F632),SUMIFS(SONDERZAHLUNGEN!$E$9:$E$128,SONDERZAHLUNGEN!$B$9:$B$128,C632,SONDERZAHLUNGEN!$C$9:$C$128,A632,SONDERZAHLUNGEN!$H$9:$H$128,"OK",SONDERZAHLUNGEN!$F$9:$F$128,"Ja")))</x:f>
      </x:c>
      <x:c r="H632" s="88" t="str">
        <x:f>IF(C632="","",MIN(MAX(0,D632+E632-F632-G632),MAX(0,IF(MONATSBUDGET!$C$38="",0,MONATSBUDGET!$C$38)-SUM(F620:F639)-SUM(H620:H631))))</x:f>
      </x:c>
      <x:c r="I632" s="88" t="str">
        <x:f>IF(C632="","",MAX(0,ROUND(D632+E632-F632-G632-H632,2)))</x:f>
      </x:c>
      <x:c r="J632" s="88" t="str">
        <x:f>IF(C632="","",F632+G632+H632)</x:f>
      </x:c>
      <x:c r="K632" s="88" t="str">
        <x:f>IF(C632="","",MAX(0,SUMIFS(SONDERZAHLUNGEN!$E$9:$E$128,SONDERZAHLUNGEN!$B$9:$B$128,C632,SONDERZAHLUNGEN!$C$9:$C$128,A632,SONDERZAHLUNGEN!$H$9:$H$128,"OK",SONDERZAHLUNGEN!$F$9:$F$128,"Ja")-G632))</x:f>
      </x:c>
    </x:row>
    <x:row r="633" ht="19" customHeight="1">
      <x:c r="A633" s="90" t="n">
        <x:f>MONATSBUDGET!$A$38</x:f>
        <x:v>47150</x:v>
      </x:c>
      <x:c r="B633" t="n">
        <x:f>14</x:f>
        <x:v>14</x:v>
      </x:c>
      <x:c r="C633" t="str">
        <x:f>IF($N$22="","",$N$22)</x:f>
      </x:c>
      <x:c r="D633" s="88" t="str">
        <x:f>IF(C633="","",I613)</x:f>
      </x:c>
      <x:c r="E633" s="88" t="str">
        <x:f>IF(C633="","",ROUND(D633*$P$22/12,2))</x:f>
      </x:c>
      <x:c r="F633" s="88" t="str">
        <x:f>IF(C633="","",MIN(D633+E633,$Q$22))</x:f>
      </x:c>
      <x:c r="G633" s="88" t="str">
        <x:f>IF(C633="","",MIN(MAX(0,D633+E633-F633),SUMIFS(SONDERZAHLUNGEN!$E$9:$E$128,SONDERZAHLUNGEN!$B$9:$B$128,C633,SONDERZAHLUNGEN!$C$9:$C$128,A633,SONDERZAHLUNGEN!$H$9:$H$128,"OK",SONDERZAHLUNGEN!$F$9:$F$128,"Ja")))</x:f>
      </x:c>
      <x:c r="H633" s="88" t="str">
        <x:f>IF(C633="","",MIN(MAX(0,D633+E633-F633-G633),MAX(0,IF(MONATSBUDGET!$C$38="",0,MONATSBUDGET!$C$38)-SUM(F620:F639)-SUM(H620:H632))))</x:f>
      </x:c>
      <x:c r="I633" s="88" t="str">
        <x:f>IF(C633="","",MAX(0,ROUND(D633+E633-F633-G633-H633,2)))</x:f>
      </x:c>
      <x:c r="J633" s="88" t="str">
        <x:f>IF(C633="","",F633+G633+H633)</x:f>
      </x:c>
      <x:c r="K633" s="88" t="str">
        <x:f>IF(C633="","",MAX(0,SUMIFS(SONDERZAHLUNGEN!$E$9:$E$128,SONDERZAHLUNGEN!$B$9:$B$128,C633,SONDERZAHLUNGEN!$C$9:$C$128,A633,SONDERZAHLUNGEN!$H$9:$H$128,"OK",SONDERZAHLUNGEN!$F$9:$F$128,"Ja")-G633))</x:f>
      </x:c>
    </x:row>
    <x:row r="634" ht="19" customHeight="1">
      <x:c r="A634" s="90" t="n">
        <x:f>MONATSBUDGET!$A$38</x:f>
        <x:v>47150</x:v>
      </x:c>
      <x:c r="B634" t="n">
        <x:f>15</x:f>
        <x:v>15</x:v>
      </x:c>
      <x:c r="C634" t="str">
        <x:f>IF($N$23="","",$N$23)</x:f>
      </x:c>
      <x:c r="D634" s="88" t="str">
        <x:f>IF(C634="","",I614)</x:f>
      </x:c>
      <x:c r="E634" s="88" t="str">
        <x:f>IF(C634="","",ROUND(D634*$P$23/12,2))</x:f>
      </x:c>
      <x:c r="F634" s="88" t="str">
        <x:f>IF(C634="","",MIN(D634+E634,$Q$23))</x:f>
      </x:c>
      <x:c r="G634" s="88" t="str">
        <x:f>IF(C634="","",MIN(MAX(0,D634+E634-F634),SUMIFS(SONDERZAHLUNGEN!$E$9:$E$128,SONDERZAHLUNGEN!$B$9:$B$128,C634,SONDERZAHLUNGEN!$C$9:$C$128,A634,SONDERZAHLUNGEN!$H$9:$H$128,"OK",SONDERZAHLUNGEN!$F$9:$F$128,"Ja")))</x:f>
      </x:c>
      <x:c r="H634" s="88" t="str">
        <x:f>IF(C634="","",MIN(MAX(0,D634+E634-F634-G634),MAX(0,IF(MONATSBUDGET!$C$38="",0,MONATSBUDGET!$C$38)-SUM(F620:F639)-SUM(H620:H633))))</x:f>
      </x:c>
      <x:c r="I634" s="88" t="str">
        <x:f>IF(C634="","",MAX(0,ROUND(D634+E634-F634-G634-H634,2)))</x:f>
      </x:c>
      <x:c r="J634" s="88" t="str">
        <x:f>IF(C634="","",F634+G634+H634)</x:f>
      </x:c>
      <x:c r="K634" s="88" t="str">
        <x:f>IF(C634="","",MAX(0,SUMIFS(SONDERZAHLUNGEN!$E$9:$E$128,SONDERZAHLUNGEN!$B$9:$B$128,C634,SONDERZAHLUNGEN!$C$9:$C$128,A634,SONDERZAHLUNGEN!$H$9:$H$128,"OK",SONDERZAHLUNGEN!$F$9:$F$128,"Ja")-G634))</x:f>
      </x:c>
    </x:row>
    <x:row r="635" ht="19" customHeight="1">
      <x:c r="A635" s="90" t="n">
        <x:f>MONATSBUDGET!$A$38</x:f>
        <x:v>47150</x:v>
      </x:c>
      <x:c r="B635" t="n">
        <x:f>16</x:f>
        <x:v>16</x:v>
      </x:c>
      <x:c r="C635" t="str">
        <x:f>IF($N$24="","",$N$24)</x:f>
      </x:c>
      <x:c r="D635" s="88" t="str">
        <x:f>IF(C635="","",I615)</x:f>
      </x:c>
      <x:c r="E635" s="88" t="str">
        <x:f>IF(C635="","",ROUND(D635*$P$24/12,2))</x:f>
      </x:c>
      <x:c r="F635" s="88" t="str">
        <x:f>IF(C635="","",MIN(D635+E635,$Q$24))</x:f>
      </x:c>
      <x:c r="G635" s="88" t="str">
        <x:f>IF(C635="","",MIN(MAX(0,D635+E635-F635),SUMIFS(SONDERZAHLUNGEN!$E$9:$E$128,SONDERZAHLUNGEN!$B$9:$B$128,C635,SONDERZAHLUNGEN!$C$9:$C$128,A635,SONDERZAHLUNGEN!$H$9:$H$128,"OK",SONDERZAHLUNGEN!$F$9:$F$128,"Ja")))</x:f>
      </x:c>
      <x:c r="H635" s="88" t="str">
        <x:f>IF(C635="","",MIN(MAX(0,D635+E635-F635-G635),MAX(0,IF(MONATSBUDGET!$C$38="",0,MONATSBUDGET!$C$38)-SUM(F620:F639)-SUM(H620:H634))))</x:f>
      </x:c>
      <x:c r="I635" s="88" t="str">
        <x:f>IF(C635="","",MAX(0,ROUND(D635+E635-F635-G635-H635,2)))</x:f>
      </x:c>
      <x:c r="J635" s="88" t="str">
        <x:f>IF(C635="","",F635+G635+H635)</x:f>
      </x:c>
      <x:c r="K635" s="88" t="str">
        <x:f>IF(C635="","",MAX(0,SUMIFS(SONDERZAHLUNGEN!$E$9:$E$128,SONDERZAHLUNGEN!$B$9:$B$128,C635,SONDERZAHLUNGEN!$C$9:$C$128,A635,SONDERZAHLUNGEN!$H$9:$H$128,"OK",SONDERZAHLUNGEN!$F$9:$F$128,"Ja")-G635))</x:f>
      </x:c>
    </x:row>
    <x:row r="636" ht="19" customHeight="1">
      <x:c r="A636" s="90" t="n">
        <x:f>MONATSBUDGET!$A$38</x:f>
        <x:v>47150</x:v>
      </x:c>
      <x:c r="B636" t="n">
        <x:f>17</x:f>
        <x:v>17</x:v>
      </x:c>
      <x:c r="C636" t="str">
        <x:f>IF($N$25="","",$N$25)</x:f>
      </x:c>
      <x:c r="D636" s="88" t="str">
        <x:f>IF(C636="","",I616)</x:f>
      </x:c>
      <x:c r="E636" s="88" t="str">
        <x:f>IF(C636="","",ROUND(D636*$P$25/12,2))</x:f>
      </x:c>
      <x:c r="F636" s="88" t="str">
        <x:f>IF(C636="","",MIN(D636+E636,$Q$25))</x:f>
      </x:c>
      <x:c r="G636" s="88" t="str">
        <x:f>IF(C636="","",MIN(MAX(0,D636+E636-F636),SUMIFS(SONDERZAHLUNGEN!$E$9:$E$128,SONDERZAHLUNGEN!$B$9:$B$128,C636,SONDERZAHLUNGEN!$C$9:$C$128,A636,SONDERZAHLUNGEN!$H$9:$H$128,"OK",SONDERZAHLUNGEN!$F$9:$F$128,"Ja")))</x:f>
      </x:c>
      <x:c r="H636" s="88" t="str">
        <x:f>IF(C636="","",MIN(MAX(0,D636+E636-F636-G636),MAX(0,IF(MONATSBUDGET!$C$38="",0,MONATSBUDGET!$C$38)-SUM(F620:F639)-SUM(H620:H635))))</x:f>
      </x:c>
      <x:c r="I636" s="88" t="str">
        <x:f>IF(C636="","",MAX(0,ROUND(D636+E636-F636-G636-H636,2)))</x:f>
      </x:c>
      <x:c r="J636" s="88" t="str">
        <x:f>IF(C636="","",F636+G636+H636)</x:f>
      </x:c>
      <x:c r="K636" s="88" t="str">
        <x:f>IF(C636="","",MAX(0,SUMIFS(SONDERZAHLUNGEN!$E$9:$E$128,SONDERZAHLUNGEN!$B$9:$B$128,C636,SONDERZAHLUNGEN!$C$9:$C$128,A636,SONDERZAHLUNGEN!$H$9:$H$128,"OK",SONDERZAHLUNGEN!$F$9:$F$128,"Ja")-G636))</x:f>
      </x:c>
    </x:row>
    <x:row r="637" ht="19" customHeight="1">
      <x:c r="A637" s="90" t="n">
        <x:f>MONATSBUDGET!$A$38</x:f>
        <x:v>47150</x:v>
      </x:c>
      <x:c r="B637" t="n">
        <x:f>18</x:f>
        <x:v>18</x:v>
      </x:c>
      <x:c r="C637" t="str">
        <x:f>IF($N$26="","",$N$26)</x:f>
      </x:c>
      <x:c r="D637" s="88" t="str">
        <x:f>IF(C637="","",I617)</x:f>
      </x:c>
      <x:c r="E637" s="88" t="str">
        <x:f>IF(C637="","",ROUND(D637*$P$26/12,2))</x:f>
      </x:c>
      <x:c r="F637" s="88" t="str">
        <x:f>IF(C637="","",MIN(D637+E637,$Q$26))</x:f>
      </x:c>
      <x:c r="G637" s="88" t="str">
        <x:f>IF(C637="","",MIN(MAX(0,D637+E637-F637),SUMIFS(SONDERZAHLUNGEN!$E$9:$E$128,SONDERZAHLUNGEN!$B$9:$B$128,C637,SONDERZAHLUNGEN!$C$9:$C$128,A637,SONDERZAHLUNGEN!$H$9:$H$128,"OK",SONDERZAHLUNGEN!$F$9:$F$128,"Ja")))</x:f>
      </x:c>
      <x:c r="H637" s="88" t="str">
        <x:f>IF(C637="","",MIN(MAX(0,D637+E637-F637-G637),MAX(0,IF(MONATSBUDGET!$C$38="",0,MONATSBUDGET!$C$38)-SUM(F620:F639)-SUM(H620:H636))))</x:f>
      </x:c>
      <x:c r="I637" s="88" t="str">
        <x:f>IF(C637="","",MAX(0,ROUND(D637+E637-F637-G637-H637,2)))</x:f>
      </x:c>
      <x:c r="J637" s="88" t="str">
        <x:f>IF(C637="","",F637+G637+H637)</x:f>
      </x:c>
      <x:c r="K637" s="88" t="str">
        <x:f>IF(C637="","",MAX(0,SUMIFS(SONDERZAHLUNGEN!$E$9:$E$128,SONDERZAHLUNGEN!$B$9:$B$128,C637,SONDERZAHLUNGEN!$C$9:$C$128,A637,SONDERZAHLUNGEN!$H$9:$H$128,"OK",SONDERZAHLUNGEN!$F$9:$F$128,"Ja")-G637))</x:f>
      </x:c>
    </x:row>
    <x:row r="638" ht="19" customHeight="1">
      <x:c r="A638" s="90" t="n">
        <x:f>MONATSBUDGET!$A$38</x:f>
        <x:v>47150</x:v>
      </x:c>
      <x:c r="B638" t="n">
        <x:f>19</x:f>
        <x:v>19</x:v>
      </x:c>
      <x:c r="C638" t="str">
        <x:f>IF($N$27="","",$N$27)</x:f>
      </x:c>
      <x:c r="D638" s="88" t="str">
        <x:f>IF(C638="","",I618)</x:f>
      </x:c>
      <x:c r="E638" s="88" t="str">
        <x:f>IF(C638="","",ROUND(D638*$P$27/12,2))</x:f>
      </x:c>
      <x:c r="F638" s="88" t="str">
        <x:f>IF(C638="","",MIN(D638+E638,$Q$27))</x:f>
      </x:c>
      <x:c r="G638" s="88" t="str">
        <x:f>IF(C638="","",MIN(MAX(0,D638+E638-F638),SUMIFS(SONDERZAHLUNGEN!$E$9:$E$128,SONDERZAHLUNGEN!$B$9:$B$128,C638,SONDERZAHLUNGEN!$C$9:$C$128,A638,SONDERZAHLUNGEN!$H$9:$H$128,"OK",SONDERZAHLUNGEN!$F$9:$F$128,"Ja")))</x:f>
      </x:c>
      <x:c r="H638" s="88" t="str">
        <x:f>IF(C638="","",MIN(MAX(0,D638+E638-F638-G638),MAX(0,IF(MONATSBUDGET!$C$38="",0,MONATSBUDGET!$C$38)-SUM(F620:F639)-SUM(H620:H637))))</x:f>
      </x:c>
      <x:c r="I638" s="88" t="str">
        <x:f>IF(C638="","",MAX(0,ROUND(D638+E638-F638-G638-H638,2)))</x:f>
      </x:c>
      <x:c r="J638" s="88" t="str">
        <x:f>IF(C638="","",F638+G638+H638)</x:f>
      </x:c>
      <x:c r="K638" s="88" t="str">
        <x:f>IF(C638="","",MAX(0,SUMIFS(SONDERZAHLUNGEN!$E$9:$E$128,SONDERZAHLUNGEN!$B$9:$B$128,C638,SONDERZAHLUNGEN!$C$9:$C$128,A638,SONDERZAHLUNGEN!$H$9:$H$128,"OK",SONDERZAHLUNGEN!$F$9:$F$128,"Ja")-G638))</x:f>
      </x:c>
    </x:row>
    <x:row r="639" ht="19" customHeight="1">
      <x:c r="A639" s="90" t="n">
        <x:f>MONATSBUDGET!$A$38</x:f>
        <x:v>47150</x:v>
      </x:c>
      <x:c r="B639" t="n">
        <x:f>20</x:f>
        <x:v>20</x:v>
      </x:c>
      <x:c r="C639" t="str">
        <x:f>IF($N$28="","",$N$28)</x:f>
      </x:c>
      <x:c r="D639" s="88" t="str">
        <x:f>IF(C639="","",I619)</x:f>
      </x:c>
      <x:c r="E639" s="88" t="str">
        <x:f>IF(C639="","",ROUND(D639*$P$28/12,2))</x:f>
      </x:c>
      <x:c r="F639" s="88" t="str">
        <x:f>IF(C639="","",MIN(D639+E639,$Q$28))</x:f>
      </x:c>
      <x:c r="G639" s="88" t="str">
        <x:f>IF(C639="","",MIN(MAX(0,D639+E639-F639),SUMIFS(SONDERZAHLUNGEN!$E$9:$E$128,SONDERZAHLUNGEN!$B$9:$B$128,C639,SONDERZAHLUNGEN!$C$9:$C$128,A639,SONDERZAHLUNGEN!$H$9:$H$128,"OK",SONDERZAHLUNGEN!$F$9:$F$128,"Ja")))</x:f>
      </x:c>
      <x:c r="H639" s="88" t="str">
        <x:f>IF(C639="","",MIN(MAX(0,D639+E639-F639-G639),MAX(0,IF(MONATSBUDGET!$C$38="",0,MONATSBUDGET!$C$38)-SUM(F620:F639)-SUM(H620:H638))))</x:f>
      </x:c>
      <x:c r="I639" s="88" t="str">
        <x:f>IF(C639="","",MAX(0,ROUND(D639+E639-F639-G639-H639,2)))</x:f>
      </x:c>
      <x:c r="J639" s="88" t="str">
        <x:f>IF(C639="","",F639+G639+H639)</x:f>
      </x:c>
      <x:c r="K639" s="88" t="str">
        <x:f>IF(C639="","",MAX(0,SUMIFS(SONDERZAHLUNGEN!$E$9:$E$128,SONDERZAHLUNGEN!$B$9:$B$128,C639,SONDERZAHLUNGEN!$C$9:$C$128,A639,SONDERZAHLUNGEN!$H$9:$H$128,"OK",SONDERZAHLUNGEN!$F$9:$F$128,"Ja")-G639))</x:f>
      </x:c>
    </x:row>
    <x:row r="640" ht="19" customHeight="1">
      <x:c r="A640" s="90" t="n">
        <x:f>MONATSBUDGET!$A$39</x:f>
        <x:v>47178</x:v>
      </x:c>
      <x:c r="B640" t="n">
        <x:f>1</x:f>
        <x:v>1</x:v>
      </x:c>
      <x:c r="C640" t="str">
        <x:f>IF($N$9="","",$N$9)</x:f>
      </x:c>
      <x:c r="D640" s="88" t="str">
        <x:f>IF(C640="","",I620)</x:f>
      </x:c>
      <x:c r="E640" s="88" t="str">
        <x:f>IF(C640="","",ROUND(D640*$P$9/12,2))</x:f>
      </x:c>
      <x:c r="F640" s="88" t="str">
        <x:f>IF(C640="","",MIN(D640+E640,$Q$9))</x:f>
      </x:c>
      <x:c r="G640" s="88" t="str">
        <x:f>IF(C640="","",MIN(MAX(0,D640+E640-F640),SUMIFS(SONDERZAHLUNGEN!$E$9:$E$128,SONDERZAHLUNGEN!$B$9:$B$128,C640,SONDERZAHLUNGEN!$C$9:$C$128,A640,SONDERZAHLUNGEN!$H$9:$H$128,"OK",SONDERZAHLUNGEN!$F$9:$F$128,"Ja")))</x:f>
      </x:c>
      <x:c r="H640" s="88" t="str">
        <x:f>IF(C640="","",MIN(MAX(0,D640+E640-F640-G640),MAX(0,IF(MONATSBUDGET!$C$39="",0,MONATSBUDGET!$C$39)-SUM(F640:F659)-0)))</x:f>
      </x:c>
      <x:c r="I640" s="88" t="str">
        <x:f>IF(C640="","",MAX(0,ROUND(D640+E640-F640-G640-H640,2)))</x:f>
      </x:c>
      <x:c r="J640" s="88" t="str">
        <x:f>IF(C640="","",F640+G640+H640)</x:f>
      </x:c>
      <x:c r="K640" s="88" t="str">
        <x:f>IF(C640="","",MAX(0,SUMIFS(SONDERZAHLUNGEN!$E$9:$E$128,SONDERZAHLUNGEN!$B$9:$B$128,C640,SONDERZAHLUNGEN!$C$9:$C$128,A640,SONDERZAHLUNGEN!$H$9:$H$128,"OK",SONDERZAHLUNGEN!$F$9:$F$128,"Ja")-G640))</x:f>
      </x:c>
    </x:row>
    <x:row r="641" ht="19" customHeight="1">
      <x:c r="A641" s="90" t="n">
        <x:f>MONATSBUDGET!$A$39</x:f>
        <x:v>47178</x:v>
      </x:c>
      <x:c r="B641" t="n">
        <x:f>2</x:f>
        <x:v>2</x:v>
      </x:c>
      <x:c r="C641" t="str">
        <x:f>IF($N$10="","",$N$10)</x:f>
      </x:c>
      <x:c r="D641" s="88" t="str">
        <x:f>IF(C641="","",I621)</x:f>
      </x:c>
      <x:c r="E641" s="88" t="str">
        <x:f>IF(C641="","",ROUND(D641*$P$10/12,2))</x:f>
      </x:c>
      <x:c r="F641" s="88" t="str">
        <x:f>IF(C641="","",MIN(D641+E641,$Q$10))</x:f>
      </x:c>
      <x:c r="G641" s="88" t="str">
        <x:f>IF(C641="","",MIN(MAX(0,D641+E641-F641),SUMIFS(SONDERZAHLUNGEN!$E$9:$E$128,SONDERZAHLUNGEN!$B$9:$B$128,C641,SONDERZAHLUNGEN!$C$9:$C$128,A641,SONDERZAHLUNGEN!$H$9:$H$128,"OK",SONDERZAHLUNGEN!$F$9:$F$128,"Ja")))</x:f>
      </x:c>
      <x:c r="H641" s="88" t="str">
        <x:f>IF(C641="","",MIN(MAX(0,D641+E641-F641-G641),MAX(0,IF(MONATSBUDGET!$C$39="",0,MONATSBUDGET!$C$39)-SUM(F640:F659)-SUM(H640:H640))))</x:f>
      </x:c>
      <x:c r="I641" s="88" t="str">
        <x:f>IF(C641="","",MAX(0,ROUND(D641+E641-F641-G641-H641,2)))</x:f>
      </x:c>
      <x:c r="J641" s="88" t="str">
        <x:f>IF(C641="","",F641+G641+H641)</x:f>
      </x:c>
      <x:c r="K641" s="88" t="str">
        <x:f>IF(C641="","",MAX(0,SUMIFS(SONDERZAHLUNGEN!$E$9:$E$128,SONDERZAHLUNGEN!$B$9:$B$128,C641,SONDERZAHLUNGEN!$C$9:$C$128,A641,SONDERZAHLUNGEN!$H$9:$H$128,"OK",SONDERZAHLUNGEN!$F$9:$F$128,"Ja")-G641))</x:f>
      </x:c>
    </x:row>
    <x:row r="642" ht="19" customHeight="1">
      <x:c r="A642" s="90" t="n">
        <x:f>MONATSBUDGET!$A$39</x:f>
        <x:v>47178</x:v>
      </x:c>
      <x:c r="B642" t="n">
        <x:f>3</x:f>
        <x:v>3</x:v>
      </x:c>
      <x:c r="C642" t="str">
        <x:f>IF($N$11="","",$N$11)</x:f>
      </x:c>
      <x:c r="D642" s="88" t="str">
        <x:f>IF(C642="","",I622)</x:f>
      </x:c>
      <x:c r="E642" s="88" t="str">
        <x:f>IF(C642="","",ROUND(D642*$P$11/12,2))</x:f>
      </x:c>
      <x:c r="F642" s="88" t="str">
        <x:f>IF(C642="","",MIN(D642+E642,$Q$11))</x:f>
      </x:c>
      <x:c r="G642" s="88" t="str">
        <x:f>IF(C642="","",MIN(MAX(0,D642+E642-F642),SUMIFS(SONDERZAHLUNGEN!$E$9:$E$128,SONDERZAHLUNGEN!$B$9:$B$128,C642,SONDERZAHLUNGEN!$C$9:$C$128,A642,SONDERZAHLUNGEN!$H$9:$H$128,"OK",SONDERZAHLUNGEN!$F$9:$F$128,"Ja")))</x:f>
      </x:c>
      <x:c r="H642" s="88" t="str">
        <x:f>IF(C642="","",MIN(MAX(0,D642+E642-F642-G642),MAX(0,IF(MONATSBUDGET!$C$39="",0,MONATSBUDGET!$C$39)-SUM(F640:F659)-SUM(H640:H641))))</x:f>
      </x:c>
      <x:c r="I642" s="88" t="str">
        <x:f>IF(C642="","",MAX(0,ROUND(D642+E642-F642-G642-H642,2)))</x:f>
      </x:c>
      <x:c r="J642" s="88" t="str">
        <x:f>IF(C642="","",F642+G642+H642)</x:f>
      </x:c>
      <x:c r="K642" s="88" t="str">
        <x:f>IF(C642="","",MAX(0,SUMIFS(SONDERZAHLUNGEN!$E$9:$E$128,SONDERZAHLUNGEN!$B$9:$B$128,C642,SONDERZAHLUNGEN!$C$9:$C$128,A642,SONDERZAHLUNGEN!$H$9:$H$128,"OK",SONDERZAHLUNGEN!$F$9:$F$128,"Ja")-G642))</x:f>
      </x:c>
    </x:row>
    <x:row r="643" ht="19" customHeight="1">
      <x:c r="A643" s="90" t="n">
        <x:f>MONATSBUDGET!$A$39</x:f>
        <x:v>47178</x:v>
      </x:c>
      <x:c r="B643" t="n">
        <x:f>4</x:f>
        <x:v>4</x:v>
      </x:c>
      <x:c r="C643" t="str">
        <x:f>IF($N$12="","",$N$12)</x:f>
      </x:c>
      <x:c r="D643" s="88" t="str">
        <x:f>IF(C643="","",I623)</x:f>
      </x:c>
      <x:c r="E643" s="88" t="str">
        <x:f>IF(C643="","",ROUND(D643*$P$12/12,2))</x:f>
      </x:c>
      <x:c r="F643" s="88" t="str">
        <x:f>IF(C643="","",MIN(D643+E643,$Q$12))</x:f>
      </x:c>
      <x:c r="G643" s="88" t="str">
        <x:f>IF(C643="","",MIN(MAX(0,D643+E643-F643),SUMIFS(SONDERZAHLUNGEN!$E$9:$E$128,SONDERZAHLUNGEN!$B$9:$B$128,C643,SONDERZAHLUNGEN!$C$9:$C$128,A643,SONDERZAHLUNGEN!$H$9:$H$128,"OK",SONDERZAHLUNGEN!$F$9:$F$128,"Ja")))</x:f>
      </x:c>
      <x:c r="H643" s="88" t="str">
        <x:f>IF(C643="","",MIN(MAX(0,D643+E643-F643-G643),MAX(0,IF(MONATSBUDGET!$C$39="",0,MONATSBUDGET!$C$39)-SUM(F640:F659)-SUM(H640:H642))))</x:f>
      </x:c>
      <x:c r="I643" s="88" t="str">
        <x:f>IF(C643="","",MAX(0,ROUND(D643+E643-F643-G643-H643,2)))</x:f>
      </x:c>
      <x:c r="J643" s="88" t="str">
        <x:f>IF(C643="","",F643+G643+H643)</x:f>
      </x:c>
      <x:c r="K643" s="88" t="str">
        <x:f>IF(C643="","",MAX(0,SUMIFS(SONDERZAHLUNGEN!$E$9:$E$128,SONDERZAHLUNGEN!$B$9:$B$128,C643,SONDERZAHLUNGEN!$C$9:$C$128,A643,SONDERZAHLUNGEN!$H$9:$H$128,"OK",SONDERZAHLUNGEN!$F$9:$F$128,"Ja")-G643))</x:f>
      </x:c>
    </x:row>
    <x:row r="644" ht="19" customHeight="1">
      <x:c r="A644" s="90" t="n">
        <x:f>MONATSBUDGET!$A$39</x:f>
        <x:v>47178</x:v>
      </x:c>
      <x:c r="B644" t="n">
        <x:f>5</x:f>
        <x:v>5</x:v>
      </x:c>
      <x:c r="C644" t="str">
        <x:f>IF($N$13="","",$N$13)</x:f>
      </x:c>
      <x:c r="D644" s="88" t="str">
        <x:f>IF(C644="","",I624)</x:f>
      </x:c>
      <x:c r="E644" s="88" t="str">
        <x:f>IF(C644="","",ROUND(D644*$P$13/12,2))</x:f>
      </x:c>
      <x:c r="F644" s="88" t="str">
        <x:f>IF(C644="","",MIN(D644+E644,$Q$13))</x:f>
      </x:c>
      <x:c r="G644" s="88" t="str">
        <x:f>IF(C644="","",MIN(MAX(0,D644+E644-F644),SUMIFS(SONDERZAHLUNGEN!$E$9:$E$128,SONDERZAHLUNGEN!$B$9:$B$128,C644,SONDERZAHLUNGEN!$C$9:$C$128,A644,SONDERZAHLUNGEN!$H$9:$H$128,"OK",SONDERZAHLUNGEN!$F$9:$F$128,"Ja")))</x:f>
      </x:c>
      <x:c r="H644" s="88" t="str">
        <x:f>IF(C644="","",MIN(MAX(0,D644+E644-F644-G644),MAX(0,IF(MONATSBUDGET!$C$39="",0,MONATSBUDGET!$C$39)-SUM(F640:F659)-SUM(H640:H643))))</x:f>
      </x:c>
      <x:c r="I644" s="88" t="str">
        <x:f>IF(C644="","",MAX(0,ROUND(D644+E644-F644-G644-H644,2)))</x:f>
      </x:c>
      <x:c r="J644" s="88" t="str">
        <x:f>IF(C644="","",F644+G644+H644)</x:f>
      </x:c>
      <x:c r="K644" s="88" t="str">
        <x:f>IF(C644="","",MAX(0,SUMIFS(SONDERZAHLUNGEN!$E$9:$E$128,SONDERZAHLUNGEN!$B$9:$B$128,C644,SONDERZAHLUNGEN!$C$9:$C$128,A644,SONDERZAHLUNGEN!$H$9:$H$128,"OK",SONDERZAHLUNGEN!$F$9:$F$128,"Ja")-G644))</x:f>
      </x:c>
    </x:row>
    <x:row r="645" ht="19" customHeight="1">
      <x:c r="A645" s="90" t="n">
        <x:f>MONATSBUDGET!$A$39</x:f>
        <x:v>47178</x:v>
      </x:c>
      <x:c r="B645" t="n">
        <x:f>6</x:f>
        <x:v>6</x:v>
      </x:c>
      <x:c r="C645" t="str">
        <x:f>IF($N$14="","",$N$14)</x:f>
      </x:c>
      <x:c r="D645" s="88" t="str">
        <x:f>IF(C645="","",I625)</x:f>
      </x:c>
      <x:c r="E645" s="88" t="str">
        <x:f>IF(C645="","",ROUND(D645*$P$14/12,2))</x:f>
      </x:c>
      <x:c r="F645" s="88" t="str">
        <x:f>IF(C645="","",MIN(D645+E645,$Q$14))</x:f>
      </x:c>
      <x:c r="G645" s="88" t="str">
        <x:f>IF(C645="","",MIN(MAX(0,D645+E645-F645),SUMIFS(SONDERZAHLUNGEN!$E$9:$E$128,SONDERZAHLUNGEN!$B$9:$B$128,C645,SONDERZAHLUNGEN!$C$9:$C$128,A645,SONDERZAHLUNGEN!$H$9:$H$128,"OK",SONDERZAHLUNGEN!$F$9:$F$128,"Ja")))</x:f>
      </x:c>
      <x:c r="H645" s="88" t="str">
        <x:f>IF(C645="","",MIN(MAX(0,D645+E645-F645-G645),MAX(0,IF(MONATSBUDGET!$C$39="",0,MONATSBUDGET!$C$39)-SUM(F640:F659)-SUM(H640:H644))))</x:f>
      </x:c>
      <x:c r="I645" s="88" t="str">
        <x:f>IF(C645="","",MAX(0,ROUND(D645+E645-F645-G645-H645,2)))</x:f>
      </x:c>
      <x:c r="J645" s="88" t="str">
        <x:f>IF(C645="","",F645+G645+H645)</x:f>
      </x:c>
      <x:c r="K645" s="88" t="str">
        <x:f>IF(C645="","",MAX(0,SUMIFS(SONDERZAHLUNGEN!$E$9:$E$128,SONDERZAHLUNGEN!$B$9:$B$128,C645,SONDERZAHLUNGEN!$C$9:$C$128,A645,SONDERZAHLUNGEN!$H$9:$H$128,"OK",SONDERZAHLUNGEN!$F$9:$F$128,"Ja")-G645))</x:f>
      </x:c>
    </x:row>
    <x:row r="646" ht="19" customHeight="1">
      <x:c r="A646" s="90" t="n">
        <x:f>MONATSBUDGET!$A$39</x:f>
        <x:v>47178</x:v>
      </x:c>
      <x:c r="B646" t="n">
        <x:f>7</x:f>
        <x:v>7</x:v>
      </x:c>
      <x:c r="C646" t="str">
        <x:f>IF($N$15="","",$N$15)</x:f>
      </x:c>
      <x:c r="D646" s="88" t="str">
        <x:f>IF(C646="","",I626)</x:f>
      </x:c>
      <x:c r="E646" s="88" t="str">
        <x:f>IF(C646="","",ROUND(D646*$P$15/12,2))</x:f>
      </x:c>
      <x:c r="F646" s="88" t="str">
        <x:f>IF(C646="","",MIN(D646+E646,$Q$15))</x:f>
      </x:c>
      <x:c r="G646" s="88" t="str">
        <x:f>IF(C646="","",MIN(MAX(0,D646+E646-F646),SUMIFS(SONDERZAHLUNGEN!$E$9:$E$128,SONDERZAHLUNGEN!$B$9:$B$128,C646,SONDERZAHLUNGEN!$C$9:$C$128,A646,SONDERZAHLUNGEN!$H$9:$H$128,"OK",SONDERZAHLUNGEN!$F$9:$F$128,"Ja")))</x:f>
      </x:c>
      <x:c r="H646" s="88" t="str">
        <x:f>IF(C646="","",MIN(MAX(0,D646+E646-F646-G646),MAX(0,IF(MONATSBUDGET!$C$39="",0,MONATSBUDGET!$C$39)-SUM(F640:F659)-SUM(H640:H645))))</x:f>
      </x:c>
      <x:c r="I646" s="88" t="str">
        <x:f>IF(C646="","",MAX(0,ROUND(D646+E646-F646-G646-H646,2)))</x:f>
      </x:c>
      <x:c r="J646" s="88" t="str">
        <x:f>IF(C646="","",F646+G646+H646)</x:f>
      </x:c>
      <x:c r="K646" s="88" t="str">
        <x:f>IF(C646="","",MAX(0,SUMIFS(SONDERZAHLUNGEN!$E$9:$E$128,SONDERZAHLUNGEN!$B$9:$B$128,C646,SONDERZAHLUNGEN!$C$9:$C$128,A646,SONDERZAHLUNGEN!$H$9:$H$128,"OK",SONDERZAHLUNGEN!$F$9:$F$128,"Ja")-G646))</x:f>
      </x:c>
    </x:row>
    <x:row r="647" ht="19" customHeight="1">
      <x:c r="A647" s="90" t="n">
        <x:f>MONATSBUDGET!$A$39</x:f>
        <x:v>47178</x:v>
      </x:c>
      <x:c r="B647" t="n">
        <x:f>8</x:f>
        <x:v>8</x:v>
      </x:c>
      <x:c r="C647" t="str">
        <x:f>IF($N$16="","",$N$16)</x:f>
      </x:c>
      <x:c r="D647" s="88" t="str">
        <x:f>IF(C647="","",I627)</x:f>
      </x:c>
      <x:c r="E647" s="88" t="str">
        <x:f>IF(C647="","",ROUND(D647*$P$16/12,2))</x:f>
      </x:c>
      <x:c r="F647" s="88" t="str">
        <x:f>IF(C647="","",MIN(D647+E647,$Q$16))</x:f>
      </x:c>
      <x:c r="G647" s="88" t="str">
        <x:f>IF(C647="","",MIN(MAX(0,D647+E647-F647),SUMIFS(SONDERZAHLUNGEN!$E$9:$E$128,SONDERZAHLUNGEN!$B$9:$B$128,C647,SONDERZAHLUNGEN!$C$9:$C$128,A647,SONDERZAHLUNGEN!$H$9:$H$128,"OK",SONDERZAHLUNGEN!$F$9:$F$128,"Ja")))</x:f>
      </x:c>
      <x:c r="H647" s="88" t="str">
        <x:f>IF(C647="","",MIN(MAX(0,D647+E647-F647-G647),MAX(0,IF(MONATSBUDGET!$C$39="",0,MONATSBUDGET!$C$39)-SUM(F640:F659)-SUM(H640:H646))))</x:f>
      </x:c>
      <x:c r="I647" s="88" t="str">
        <x:f>IF(C647="","",MAX(0,ROUND(D647+E647-F647-G647-H647,2)))</x:f>
      </x:c>
      <x:c r="J647" s="88" t="str">
        <x:f>IF(C647="","",F647+G647+H647)</x:f>
      </x:c>
      <x:c r="K647" s="88" t="str">
        <x:f>IF(C647="","",MAX(0,SUMIFS(SONDERZAHLUNGEN!$E$9:$E$128,SONDERZAHLUNGEN!$B$9:$B$128,C647,SONDERZAHLUNGEN!$C$9:$C$128,A647,SONDERZAHLUNGEN!$H$9:$H$128,"OK",SONDERZAHLUNGEN!$F$9:$F$128,"Ja")-G647))</x:f>
      </x:c>
    </x:row>
    <x:row r="648" ht="19" customHeight="1">
      <x:c r="A648" s="90" t="n">
        <x:f>MONATSBUDGET!$A$39</x:f>
        <x:v>47178</x:v>
      </x:c>
      <x:c r="B648" t="n">
        <x:f>9</x:f>
        <x:v>9</x:v>
      </x:c>
      <x:c r="C648" t="str">
        <x:f>IF($N$17="","",$N$17)</x:f>
      </x:c>
      <x:c r="D648" s="88" t="str">
        <x:f>IF(C648="","",I628)</x:f>
      </x:c>
      <x:c r="E648" s="88" t="str">
        <x:f>IF(C648="","",ROUND(D648*$P$17/12,2))</x:f>
      </x:c>
      <x:c r="F648" s="88" t="str">
        <x:f>IF(C648="","",MIN(D648+E648,$Q$17))</x:f>
      </x:c>
      <x:c r="G648" s="88" t="str">
        <x:f>IF(C648="","",MIN(MAX(0,D648+E648-F648),SUMIFS(SONDERZAHLUNGEN!$E$9:$E$128,SONDERZAHLUNGEN!$B$9:$B$128,C648,SONDERZAHLUNGEN!$C$9:$C$128,A648,SONDERZAHLUNGEN!$H$9:$H$128,"OK",SONDERZAHLUNGEN!$F$9:$F$128,"Ja")))</x:f>
      </x:c>
      <x:c r="H648" s="88" t="str">
        <x:f>IF(C648="","",MIN(MAX(0,D648+E648-F648-G648),MAX(0,IF(MONATSBUDGET!$C$39="",0,MONATSBUDGET!$C$39)-SUM(F640:F659)-SUM(H640:H647))))</x:f>
      </x:c>
      <x:c r="I648" s="88" t="str">
        <x:f>IF(C648="","",MAX(0,ROUND(D648+E648-F648-G648-H648,2)))</x:f>
      </x:c>
      <x:c r="J648" s="88" t="str">
        <x:f>IF(C648="","",F648+G648+H648)</x:f>
      </x:c>
      <x:c r="K648" s="88" t="str">
        <x:f>IF(C648="","",MAX(0,SUMIFS(SONDERZAHLUNGEN!$E$9:$E$128,SONDERZAHLUNGEN!$B$9:$B$128,C648,SONDERZAHLUNGEN!$C$9:$C$128,A648,SONDERZAHLUNGEN!$H$9:$H$128,"OK",SONDERZAHLUNGEN!$F$9:$F$128,"Ja")-G648))</x:f>
      </x:c>
    </x:row>
    <x:row r="649" ht="19" customHeight="1">
      <x:c r="A649" s="90" t="n">
        <x:f>MONATSBUDGET!$A$39</x:f>
        <x:v>47178</x:v>
      </x:c>
      <x:c r="B649" t="n">
        <x:f>10</x:f>
        <x:v>10</x:v>
      </x:c>
      <x:c r="C649" t="str">
        <x:f>IF($N$18="","",$N$18)</x:f>
      </x:c>
      <x:c r="D649" s="88" t="str">
        <x:f>IF(C649="","",I629)</x:f>
      </x:c>
      <x:c r="E649" s="88" t="str">
        <x:f>IF(C649="","",ROUND(D649*$P$18/12,2))</x:f>
      </x:c>
      <x:c r="F649" s="88" t="str">
        <x:f>IF(C649="","",MIN(D649+E649,$Q$18))</x:f>
      </x:c>
      <x:c r="G649" s="88" t="str">
        <x:f>IF(C649="","",MIN(MAX(0,D649+E649-F649),SUMIFS(SONDERZAHLUNGEN!$E$9:$E$128,SONDERZAHLUNGEN!$B$9:$B$128,C649,SONDERZAHLUNGEN!$C$9:$C$128,A649,SONDERZAHLUNGEN!$H$9:$H$128,"OK",SONDERZAHLUNGEN!$F$9:$F$128,"Ja")))</x:f>
      </x:c>
      <x:c r="H649" s="88" t="str">
        <x:f>IF(C649="","",MIN(MAX(0,D649+E649-F649-G649),MAX(0,IF(MONATSBUDGET!$C$39="",0,MONATSBUDGET!$C$39)-SUM(F640:F659)-SUM(H640:H648))))</x:f>
      </x:c>
      <x:c r="I649" s="88" t="str">
        <x:f>IF(C649="","",MAX(0,ROUND(D649+E649-F649-G649-H649,2)))</x:f>
      </x:c>
      <x:c r="J649" s="88" t="str">
        <x:f>IF(C649="","",F649+G649+H649)</x:f>
      </x:c>
      <x:c r="K649" s="88" t="str">
        <x:f>IF(C649="","",MAX(0,SUMIFS(SONDERZAHLUNGEN!$E$9:$E$128,SONDERZAHLUNGEN!$B$9:$B$128,C649,SONDERZAHLUNGEN!$C$9:$C$128,A649,SONDERZAHLUNGEN!$H$9:$H$128,"OK",SONDERZAHLUNGEN!$F$9:$F$128,"Ja")-G649))</x:f>
      </x:c>
    </x:row>
    <x:row r="650" ht="19" customHeight="1">
      <x:c r="A650" s="90" t="n">
        <x:f>MONATSBUDGET!$A$39</x:f>
        <x:v>47178</x:v>
      </x:c>
      <x:c r="B650" t="n">
        <x:f>11</x:f>
        <x:v>11</x:v>
      </x:c>
      <x:c r="C650" t="str">
        <x:f>IF($N$19="","",$N$19)</x:f>
      </x:c>
      <x:c r="D650" s="88" t="str">
        <x:f>IF(C650="","",I630)</x:f>
      </x:c>
      <x:c r="E650" s="88" t="str">
        <x:f>IF(C650="","",ROUND(D650*$P$19/12,2))</x:f>
      </x:c>
      <x:c r="F650" s="88" t="str">
        <x:f>IF(C650="","",MIN(D650+E650,$Q$19))</x:f>
      </x:c>
      <x:c r="G650" s="88" t="str">
        <x:f>IF(C650="","",MIN(MAX(0,D650+E650-F650),SUMIFS(SONDERZAHLUNGEN!$E$9:$E$128,SONDERZAHLUNGEN!$B$9:$B$128,C650,SONDERZAHLUNGEN!$C$9:$C$128,A650,SONDERZAHLUNGEN!$H$9:$H$128,"OK",SONDERZAHLUNGEN!$F$9:$F$128,"Ja")))</x:f>
      </x:c>
      <x:c r="H650" s="88" t="str">
        <x:f>IF(C650="","",MIN(MAX(0,D650+E650-F650-G650),MAX(0,IF(MONATSBUDGET!$C$39="",0,MONATSBUDGET!$C$39)-SUM(F640:F659)-SUM(H640:H649))))</x:f>
      </x:c>
      <x:c r="I650" s="88" t="str">
        <x:f>IF(C650="","",MAX(0,ROUND(D650+E650-F650-G650-H650,2)))</x:f>
      </x:c>
      <x:c r="J650" s="88" t="str">
        <x:f>IF(C650="","",F650+G650+H650)</x:f>
      </x:c>
      <x:c r="K650" s="88" t="str">
        <x:f>IF(C650="","",MAX(0,SUMIFS(SONDERZAHLUNGEN!$E$9:$E$128,SONDERZAHLUNGEN!$B$9:$B$128,C650,SONDERZAHLUNGEN!$C$9:$C$128,A650,SONDERZAHLUNGEN!$H$9:$H$128,"OK",SONDERZAHLUNGEN!$F$9:$F$128,"Ja")-G650))</x:f>
      </x:c>
    </x:row>
    <x:row r="651" ht="19" customHeight="1">
      <x:c r="A651" s="90" t="n">
        <x:f>MONATSBUDGET!$A$39</x:f>
        <x:v>47178</x:v>
      </x:c>
      <x:c r="B651" t="n">
        <x:f>12</x:f>
        <x:v>12</x:v>
      </x:c>
      <x:c r="C651" t="str">
        <x:f>IF($N$20="","",$N$20)</x:f>
      </x:c>
      <x:c r="D651" s="88" t="str">
        <x:f>IF(C651="","",I631)</x:f>
      </x:c>
      <x:c r="E651" s="88" t="str">
        <x:f>IF(C651="","",ROUND(D651*$P$20/12,2))</x:f>
      </x:c>
      <x:c r="F651" s="88" t="str">
        <x:f>IF(C651="","",MIN(D651+E651,$Q$20))</x:f>
      </x:c>
      <x:c r="G651" s="88" t="str">
        <x:f>IF(C651="","",MIN(MAX(0,D651+E651-F651),SUMIFS(SONDERZAHLUNGEN!$E$9:$E$128,SONDERZAHLUNGEN!$B$9:$B$128,C651,SONDERZAHLUNGEN!$C$9:$C$128,A651,SONDERZAHLUNGEN!$H$9:$H$128,"OK",SONDERZAHLUNGEN!$F$9:$F$128,"Ja")))</x:f>
      </x:c>
      <x:c r="H651" s="88" t="str">
        <x:f>IF(C651="","",MIN(MAX(0,D651+E651-F651-G651),MAX(0,IF(MONATSBUDGET!$C$39="",0,MONATSBUDGET!$C$39)-SUM(F640:F659)-SUM(H640:H650))))</x:f>
      </x:c>
      <x:c r="I651" s="88" t="str">
        <x:f>IF(C651="","",MAX(0,ROUND(D651+E651-F651-G651-H651,2)))</x:f>
      </x:c>
      <x:c r="J651" s="88" t="str">
        <x:f>IF(C651="","",F651+G651+H651)</x:f>
      </x:c>
      <x:c r="K651" s="88" t="str">
        <x:f>IF(C651="","",MAX(0,SUMIFS(SONDERZAHLUNGEN!$E$9:$E$128,SONDERZAHLUNGEN!$B$9:$B$128,C651,SONDERZAHLUNGEN!$C$9:$C$128,A651,SONDERZAHLUNGEN!$H$9:$H$128,"OK",SONDERZAHLUNGEN!$F$9:$F$128,"Ja")-G651))</x:f>
      </x:c>
    </x:row>
    <x:row r="652" ht="19" customHeight="1">
      <x:c r="A652" s="90" t="n">
        <x:f>MONATSBUDGET!$A$39</x:f>
        <x:v>47178</x:v>
      </x:c>
      <x:c r="B652" t="n">
        <x:f>13</x:f>
        <x:v>13</x:v>
      </x:c>
      <x:c r="C652" t="str">
        <x:f>IF($N$21="","",$N$21)</x:f>
      </x:c>
      <x:c r="D652" s="88" t="str">
        <x:f>IF(C652="","",I632)</x:f>
      </x:c>
      <x:c r="E652" s="88" t="str">
        <x:f>IF(C652="","",ROUND(D652*$P$21/12,2))</x:f>
      </x:c>
      <x:c r="F652" s="88" t="str">
        <x:f>IF(C652="","",MIN(D652+E652,$Q$21))</x:f>
      </x:c>
      <x:c r="G652" s="88" t="str">
        <x:f>IF(C652="","",MIN(MAX(0,D652+E652-F652),SUMIFS(SONDERZAHLUNGEN!$E$9:$E$128,SONDERZAHLUNGEN!$B$9:$B$128,C652,SONDERZAHLUNGEN!$C$9:$C$128,A652,SONDERZAHLUNGEN!$H$9:$H$128,"OK",SONDERZAHLUNGEN!$F$9:$F$128,"Ja")))</x:f>
      </x:c>
      <x:c r="H652" s="88" t="str">
        <x:f>IF(C652="","",MIN(MAX(0,D652+E652-F652-G652),MAX(0,IF(MONATSBUDGET!$C$39="",0,MONATSBUDGET!$C$39)-SUM(F640:F659)-SUM(H640:H651))))</x:f>
      </x:c>
      <x:c r="I652" s="88" t="str">
        <x:f>IF(C652="","",MAX(0,ROUND(D652+E652-F652-G652-H652,2)))</x:f>
      </x:c>
      <x:c r="J652" s="88" t="str">
        <x:f>IF(C652="","",F652+G652+H652)</x:f>
      </x:c>
      <x:c r="K652" s="88" t="str">
        <x:f>IF(C652="","",MAX(0,SUMIFS(SONDERZAHLUNGEN!$E$9:$E$128,SONDERZAHLUNGEN!$B$9:$B$128,C652,SONDERZAHLUNGEN!$C$9:$C$128,A652,SONDERZAHLUNGEN!$H$9:$H$128,"OK",SONDERZAHLUNGEN!$F$9:$F$128,"Ja")-G652))</x:f>
      </x:c>
    </x:row>
    <x:row r="653" ht="19" customHeight="1">
      <x:c r="A653" s="90" t="n">
        <x:f>MONATSBUDGET!$A$39</x:f>
        <x:v>47178</x:v>
      </x:c>
      <x:c r="B653" t="n">
        <x:f>14</x:f>
        <x:v>14</x:v>
      </x:c>
      <x:c r="C653" t="str">
        <x:f>IF($N$22="","",$N$22)</x:f>
      </x:c>
      <x:c r="D653" s="88" t="str">
        <x:f>IF(C653="","",I633)</x:f>
      </x:c>
      <x:c r="E653" s="88" t="str">
        <x:f>IF(C653="","",ROUND(D653*$P$22/12,2))</x:f>
      </x:c>
      <x:c r="F653" s="88" t="str">
        <x:f>IF(C653="","",MIN(D653+E653,$Q$22))</x:f>
      </x:c>
      <x:c r="G653" s="88" t="str">
        <x:f>IF(C653="","",MIN(MAX(0,D653+E653-F653),SUMIFS(SONDERZAHLUNGEN!$E$9:$E$128,SONDERZAHLUNGEN!$B$9:$B$128,C653,SONDERZAHLUNGEN!$C$9:$C$128,A653,SONDERZAHLUNGEN!$H$9:$H$128,"OK",SONDERZAHLUNGEN!$F$9:$F$128,"Ja")))</x:f>
      </x:c>
      <x:c r="H653" s="88" t="str">
        <x:f>IF(C653="","",MIN(MAX(0,D653+E653-F653-G653),MAX(0,IF(MONATSBUDGET!$C$39="",0,MONATSBUDGET!$C$39)-SUM(F640:F659)-SUM(H640:H652))))</x:f>
      </x:c>
      <x:c r="I653" s="88" t="str">
        <x:f>IF(C653="","",MAX(0,ROUND(D653+E653-F653-G653-H653,2)))</x:f>
      </x:c>
      <x:c r="J653" s="88" t="str">
        <x:f>IF(C653="","",F653+G653+H653)</x:f>
      </x:c>
      <x:c r="K653" s="88" t="str">
        <x:f>IF(C653="","",MAX(0,SUMIFS(SONDERZAHLUNGEN!$E$9:$E$128,SONDERZAHLUNGEN!$B$9:$B$128,C653,SONDERZAHLUNGEN!$C$9:$C$128,A653,SONDERZAHLUNGEN!$H$9:$H$128,"OK",SONDERZAHLUNGEN!$F$9:$F$128,"Ja")-G653))</x:f>
      </x:c>
    </x:row>
    <x:row r="654" ht="19" customHeight="1">
      <x:c r="A654" s="90" t="n">
        <x:f>MONATSBUDGET!$A$39</x:f>
        <x:v>47178</x:v>
      </x:c>
      <x:c r="B654" t="n">
        <x:f>15</x:f>
        <x:v>15</x:v>
      </x:c>
      <x:c r="C654" t="str">
        <x:f>IF($N$23="","",$N$23)</x:f>
      </x:c>
      <x:c r="D654" s="88" t="str">
        <x:f>IF(C654="","",I634)</x:f>
      </x:c>
      <x:c r="E654" s="88" t="str">
        <x:f>IF(C654="","",ROUND(D654*$P$23/12,2))</x:f>
      </x:c>
      <x:c r="F654" s="88" t="str">
        <x:f>IF(C654="","",MIN(D654+E654,$Q$23))</x:f>
      </x:c>
      <x:c r="G654" s="88" t="str">
        <x:f>IF(C654="","",MIN(MAX(0,D654+E654-F654),SUMIFS(SONDERZAHLUNGEN!$E$9:$E$128,SONDERZAHLUNGEN!$B$9:$B$128,C654,SONDERZAHLUNGEN!$C$9:$C$128,A654,SONDERZAHLUNGEN!$H$9:$H$128,"OK",SONDERZAHLUNGEN!$F$9:$F$128,"Ja")))</x:f>
      </x:c>
      <x:c r="H654" s="88" t="str">
        <x:f>IF(C654="","",MIN(MAX(0,D654+E654-F654-G654),MAX(0,IF(MONATSBUDGET!$C$39="",0,MONATSBUDGET!$C$39)-SUM(F640:F659)-SUM(H640:H653))))</x:f>
      </x:c>
      <x:c r="I654" s="88" t="str">
        <x:f>IF(C654="","",MAX(0,ROUND(D654+E654-F654-G654-H654,2)))</x:f>
      </x:c>
      <x:c r="J654" s="88" t="str">
        <x:f>IF(C654="","",F654+G654+H654)</x:f>
      </x:c>
      <x:c r="K654" s="88" t="str">
        <x:f>IF(C654="","",MAX(0,SUMIFS(SONDERZAHLUNGEN!$E$9:$E$128,SONDERZAHLUNGEN!$B$9:$B$128,C654,SONDERZAHLUNGEN!$C$9:$C$128,A654,SONDERZAHLUNGEN!$H$9:$H$128,"OK",SONDERZAHLUNGEN!$F$9:$F$128,"Ja")-G654))</x:f>
      </x:c>
    </x:row>
    <x:row r="655" ht="19" customHeight="1">
      <x:c r="A655" s="90" t="n">
        <x:f>MONATSBUDGET!$A$39</x:f>
        <x:v>47178</x:v>
      </x:c>
      <x:c r="B655" t="n">
        <x:f>16</x:f>
        <x:v>16</x:v>
      </x:c>
      <x:c r="C655" t="str">
        <x:f>IF($N$24="","",$N$24)</x:f>
      </x:c>
      <x:c r="D655" s="88" t="str">
        <x:f>IF(C655="","",I635)</x:f>
      </x:c>
      <x:c r="E655" s="88" t="str">
        <x:f>IF(C655="","",ROUND(D655*$P$24/12,2))</x:f>
      </x:c>
      <x:c r="F655" s="88" t="str">
        <x:f>IF(C655="","",MIN(D655+E655,$Q$24))</x:f>
      </x:c>
      <x:c r="G655" s="88" t="str">
        <x:f>IF(C655="","",MIN(MAX(0,D655+E655-F655),SUMIFS(SONDERZAHLUNGEN!$E$9:$E$128,SONDERZAHLUNGEN!$B$9:$B$128,C655,SONDERZAHLUNGEN!$C$9:$C$128,A655,SONDERZAHLUNGEN!$H$9:$H$128,"OK",SONDERZAHLUNGEN!$F$9:$F$128,"Ja")))</x:f>
      </x:c>
      <x:c r="H655" s="88" t="str">
        <x:f>IF(C655="","",MIN(MAX(0,D655+E655-F655-G655),MAX(0,IF(MONATSBUDGET!$C$39="",0,MONATSBUDGET!$C$39)-SUM(F640:F659)-SUM(H640:H654))))</x:f>
      </x:c>
      <x:c r="I655" s="88" t="str">
        <x:f>IF(C655="","",MAX(0,ROUND(D655+E655-F655-G655-H655,2)))</x:f>
      </x:c>
      <x:c r="J655" s="88" t="str">
        <x:f>IF(C655="","",F655+G655+H655)</x:f>
      </x:c>
      <x:c r="K655" s="88" t="str">
        <x:f>IF(C655="","",MAX(0,SUMIFS(SONDERZAHLUNGEN!$E$9:$E$128,SONDERZAHLUNGEN!$B$9:$B$128,C655,SONDERZAHLUNGEN!$C$9:$C$128,A655,SONDERZAHLUNGEN!$H$9:$H$128,"OK",SONDERZAHLUNGEN!$F$9:$F$128,"Ja")-G655))</x:f>
      </x:c>
    </x:row>
    <x:row r="656" ht="19" customHeight="1">
      <x:c r="A656" s="90" t="n">
        <x:f>MONATSBUDGET!$A$39</x:f>
        <x:v>47178</x:v>
      </x:c>
      <x:c r="B656" t="n">
        <x:f>17</x:f>
        <x:v>17</x:v>
      </x:c>
      <x:c r="C656" t="str">
        <x:f>IF($N$25="","",$N$25)</x:f>
      </x:c>
      <x:c r="D656" s="88" t="str">
        <x:f>IF(C656="","",I636)</x:f>
      </x:c>
      <x:c r="E656" s="88" t="str">
        <x:f>IF(C656="","",ROUND(D656*$P$25/12,2))</x:f>
      </x:c>
      <x:c r="F656" s="88" t="str">
        <x:f>IF(C656="","",MIN(D656+E656,$Q$25))</x:f>
      </x:c>
      <x:c r="G656" s="88" t="str">
        <x:f>IF(C656="","",MIN(MAX(0,D656+E656-F656),SUMIFS(SONDERZAHLUNGEN!$E$9:$E$128,SONDERZAHLUNGEN!$B$9:$B$128,C656,SONDERZAHLUNGEN!$C$9:$C$128,A656,SONDERZAHLUNGEN!$H$9:$H$128,"OK",SONDERZAHLUNGEN!$F$9:$F$128,"Ja")))</x:f>
      </x:c>
      <x:c r="H656" s="88" t="str">
        <x:f>IF(C656="","",MIN(MAX(0,D656+E656-F656-G656),MAX(0,IF(MONATSBUDGET!$C$39="",0,MONATSBUDGET!$C$39)-SUM(F640:F659)-SUM(H640:H655))))</x:f>
      </x:c>
      <x:c r="I656" s="88" t="str">
        <x:f>IF(C656="","",MAX(0,ROUND(D656+E656-F656-G656-H656,2)))</x:f>
      </x:c>
      <x:c r="J656" s="88" t="str">
        <x:f>IF(C656="","",F656+G656+H656)</x:f>
      </x:c>
      <x:c r="K656" s="88" t="str">
        <x:f>IF(C656="","",MAX(0,SUMIFS(SONDERZAHLUNGEN!$E$9:$E$128,SONDERZAHLUNGEN!$B$9:$B$128,C656,SONDERZAHLUNGEN!$C$9:$C$128,A656,SONDERZAHLUNGEN!$H$9:$H$128,"OK",SONDERZAHLUNGEN!$F$9:$F$128,"Ja")-G656))</x:f>
      </x:c>
    </x:row>
    <x:row r="657" ht="19" customHeight="1">
      <x:c r="A657" s="90" t="n">
        <x:f>MONATSBUDGET!$A$39</x:f>
        <x:v>47178</x:v>
      </x:c>
      <x:c r="B657" t="n">
        <x:f>18</x:f>
        <x:v>18</x:v>
      </x:c>
      <x:c r="C657" t="str">
        <x:f>IF($N$26="","",$N$26)</x:f>
      </x:c>
      <x:c r="D657" s="88" t="str">
        <x:f>IF(C657="","",I637)</x:f>
      </x:c>
      <x:c r="E657" s="88" t="str">
        <x:f>IF(C657="","",ROUND(D657*$P$26/12,2))</x:f>
      </x:c>
      <x:c r="F657" s="88" t="str">
        <x:f>IF(C657="","",MIN(D657+E657,$Q$26))</x:f>
      </x:c>
      <x:c r="G657" s="88" t="str">
        <x:f>IF(C657="","",MIN(MAX(0,D657+E657-F657),SUMIFS(SONDERZAHLUNGEN!$E$9:$E$128,SONDERZAHLUNGEN!$B$9:$B$128,C657,SONDERZAHLUNGEN!$C$9:$C$128,A657,SONDERZAHLUNGEN!$H$9:$H$128,"OK",SONDERZAHLUNGEN!$F$9:$F$128,"Ja")))</x:f>
      </x:c>
      <x:c r="H657" s="88" t="str">
        <x:f>IF(C657="","",MIN(MAX(0,D657+E657-F657-G657),MAX(0,IF(MONATSBUDGET!$C$39="",0,MONATSBUDGET!$C$39)-SUM(F640:F659)-SUM(H640:H656))))</x:f>
      </x:c>
      <x:c r="I657" s="88" t="str">
        <x:f>IF(C657="","",MAX(0,ROUND(D657+E657-F657-G657-H657,2)))</x:f>
      </x:c>
      <x:c r="J657" s="88" t="str">
        <x:f>IF(C657="","",F657+G657+H657)</x:f>
      </x:c>
      <x:c r="K657" s="88" t="str">
        <x:f>IF(C657="","",MAX(0,SUMIFS(SONDERZAHLUNGEN!$E$9:$E$128,SONDERZAHLUNGEN!$B$9:$B$128,C657,SONDERZAHLUNGEN!$C$9:$C$128,A657,SONDERZAHLUNGEN!$H$9:$H$128,"OK",SONDERZAHLUNGEN!$F$9:$F$128,"Ja")-G657))</x:f>
      </x:c>
    </x:row>
    <x:row r="658" ht="19" customHeight="1">
      <x:c r="A658" s="90" t="n">
        <x:f>MONATSBUDGET!$A$39</x:f>
        <x:v>47178</x:v>
      </x:c>
      <x:c r="B658" t="n">
        <x:f>19</x:f>
        <x:v>19</x:v>
      </x:c>
      <x:c r="C658" t="str">
        <x:f>IF($N$27="","",$N$27)</x:f>
      </x:c>
      <x:c r="D658" s="88" t="str">
        <x:f>IF(C658="","",I638)</x:f>
      </x:c>
      <x:c r="E658" s="88" t="str">
        <x:f>IF(C658="","",ROUND(D658*$P$27/12,2))</x:f>
      </x:c>
      <x:c r="F658" s="88" t="str">
        <x:f>IF(C658="","",MIN(D658+E658,$Q$27))</x:f>
      </x:c>
      <x:c r="G658" s="88" t="str">
        <x:f>IF(C658="","",MIN(MAX(0,D658+E658-F658),SUMIFS(SONDERZAHLUNGEN!$E$9:$E$128,SONDERZAHLUNGEN!$B$9:$B$128,C658,SONDERZAHLUNGEN!$C$9:$C$128,A658,SONDERZAHLUNGEN!$H$9:$H$128,"OK",SONDERZAHLUNGEN!$F$9:$F$128,"Ja")))</x:f>
      </x:c>
      <x:c r="H658" s="88" t="str">
        <x:f>IF(C658="","",MIN(MAX(0,D658+E658-F658-G658),MAX(0,IF(MONATSBUDGET!$C$39="",0,MONATSBUDGET!$C$39)-SUM(F640:F659)-SUM(H640:H657))))</x:f>
      </x:c>
      <x:c r="I658" s="88" t="str">
        <x:f>IF(C658="","",MAX(0,ROUND(D658+E658-F658-G658-H658,2)))</x:f>
      </x:c>
      <x:c r="J658" s="88" t="str">
        <x:f>IF(C658="","",F658+G658+H658)</x:f>
      </x:c>
      <x:c r="K658" s="88" t="str">
        <x:f>IF(C658="","",MAX(0,SUMIFS(SONDERZAHLUNGEN!$E$9:$E$128,SONDERZAHLUNGEN!$B$9:$B$128,C658,SONDERZAHLUNGEN!$C$9:$C$128,A658,SONDERZAHLUNGEN!$H$9:$H$128,"OK",SONDERZAHLUNGEN!$F$9:$F$128,"Ja")-G658))</x:f>
      </x:c>
    </x:row>
    <x:row r="659" ht="19" customHeight="1">
      <x:c r="A659" s="90" t="n">
        <x:f>MONATSBUDGET!$A$39</x:f>
        <x:v>47178</x:v>
      </x:c>
      <x:c r="B659" t="n">
        <x:f>20</x:f>
        <x:v>20</x:v>
      </x:c>
      <x:c r="C659" t="str">
        <x:f>IF($N$28="","",$N$28)</x:f>
      </x:c>
      <x:c r="D659" s="88" t="str">
        <x:f>IF(C659="","",I639)</x:f>
      </x:c>
      <x:c r="E659" s="88" t="str">
        <x:f>IF(C659="","",ROUND(D659*$P$28/12,2))</x:f>
      </x:c>
      <x:c r="F659" s="88" t="str">
        <x:f>IF(C659="","",MIN(D659+E659,$Q$28))</x:f>
      </x:c>
      <x:c r="G659" s="88" t="str">
        <x:f>IF(C659="","",MIN(MAX(0,D659+E659-F659),SUMIFS(SONDERZAHLUNGEN!$E$9:$E$128,SONDERZAHLUNGEN!$B$9:$B$128,C659,SONDERZAHLUNGEN!$C$9:$C$128,A659,SONDERZAHLUNGEN!$H$9:$H$128,"OK",SONDERZAHLUNGEN!$F$9:$F$128,"Ja")))</x:f>
      </x:c>
      <x:c r="H659" s="88" t="str">
        <x:f>IF(C659="","",MIN(MAX(0,D659+E659-F659-G659),MAX(0,IF(MONATSBUDGET!$C$39="",0,MONATSBUDGET!$C$39)-SUM(F640:F659)-SUM(H640:H658))))</x:f>
      </x:c>
      <x:c r="I659" s="88" t="str">
        <x:f>IF(C659="","",MAX(0,ROUND(D659+E659-F659-G659-H659,2)))</x:f>
      </x:c>
      <x:c r="J659" s="88" t="str">
        <x:f>IF(C659="","",F659+G659+H659)</x:f>
      </x:c>
      <x:c r="K659" s="88" t="str">
        <x:f>IF(C659="","",MAX(0,SUMIFS(SONDERZAHLUNGEN!$E$9:$E$128,SONDERZAHLUNGEN!$B$9:$B$128,C659,SONDERZAHLUNGEN!$C$9:$C$128,A659,SONDERZAHLUNGEN!$H$9:$H$128,"OK",SONDERZAHLUNGEN!$F$9:$F$128,"Ja")-G659))</x:f>
      </x:c>
    </x:row>
    <x:row r="660" ht="19" customHeight="1">
      <x:c r="A660" s="90" t="n">
        <x:f>MONATSBUDGET!$A$40</x:f>
        <x:v>47209</x:v>
      </x:c>
      <x:c r="B660" t="n">
        <x:f>1</x:f>
        <x:v>1</x:v>
      </x:c>
      <x:c r="C660" t="str">
        <x:f>IF($N$9="","",$N$9)</x:f>
      </x:c>
      <x:c r="D660" s="88" t="str">
        <x:f>IF(C660="","",I640)</x:f>
      </x:c>
      <x:c r="E660" s="88" t="str">
        <x:f>IF(C660="","",ROUND(D660*$P$9/12,2))</x:f>
      </x:c>
      <x:c r="F660" s="88" t="str">
        <x:f>IF(C660="","",MIN(D660+E660,$Q$9))</x:f>
      </x:c>
      <x:c r="G660" s="88" t="str">
        <x:f>IF(C660="","",MIN(MAX(0,D660+E660-F660),SUMIFS(SONDERZAHLUNGEN!$E$9:$E$128,SONDERZAHLUNGEN!$B$9:$B$128,C660,SONDERZAHLUNGEN!$C$9:$C$128,A660,SONDERZAHLUNGEN!$H$9:$H$128,"OK",SONDERZAHLUNGEN!$F$9:$F$128,"Ja")))</x:f>
      </x:c>
      <x:c r="H660" s="88" t="str">
        <x:f>IF(C660="","",MIN(MAX(0,D660+E660-F660-G660),MAX(0,IF(MONATSBUDGET!$C$40="",0,MONATSBUDGET!$C$40)-SUM(F660:F679)-0)))</x:f>
      </x:c>
      <x:c r="I660" s="88" t="str">
        <x:f>IF(C660="","",MAX(0,ROUND(D660+E660-F660-G660-H660,2)))</x:f>
      </x:c>
      <x:c r="J660" s="88" t="str">
        <x:f>IF(C660="","",F660+G660+H660)</x:f>
      </x:c>
      <x:c r="K660" s="88" t="str">
        <x:f>IF(C660="","",MAX(0,SUMIFS(SONDERZAHLUNGEN!$E$9:$E$128,SONDERZAHLUNGEN!$B$9:$B$128,C660,SONDERZAHLUNGEN!$C$9:$C$128,A660,SONDERZAHLUNGEN!$H$9:$H$128,"OK",SONDERZAHLUNGEN!$F$9:$F$128,"Ja")-G660))</x:f>
      </x:c>
    </x:row>
    <x:row r="661" ht="19" customHeight="1">
      <x:c r="A661" s="90" t="n">
        <x:f>MONATSBUDGET!$A$40</x:f>
        <x:v>47209</x:v>
      </x:c>
      <x:c r="B661" t="n">
        <x:f>2</x:f>
        <x:v>2</x:v>
      </x:c>
      <x:c r="C661" t="str">
        <x:f>IF($N$10="","",$N$10)</x:f>
      </x:c>
      <x:c r="D661" s="88" t="str">
        <x:f>IF(C661="","",I641)</x:f>
      </x:c>
      <x:c r="E661" s="88" t="str">
        <x:f>IF(C661="","",ROUND(D661*$P$10/12,2))</x:f>
      </x:c>
      <x:c r="F661" s="88" t="str">
        <x:f>IF(C661="","",MIN(D661+E661,$Q$10))</x:f>
      </x:c>
      <x:c r="G661" s="88" t="str">
        <x:f>IF(C661="","",MIN(MAX(0,D661+E661-F661),SUMIFS(SONDERZAHLUNGEN!$E$9:$E$128,SONDERZAHLUNGEN!$B$9:$B$128,C661,SONDERZAHLUNGEN!$C$9:$C$128,A661,SONDERZAHLUNGEN!$H$9:$H$128,"OK",SONDERZAHLUNGEN!$F$9:$F$128,"Ja")))</x:f>
      </x:c>
      <x:c r="H661" s="88" t="str">
        <x:f>IF(C661="","",MIN(MAX(0,D661+E661-F661-G661),MAX(0,IF(MONATSBUDGET!$C$40="",0,MONATSBUDGET!$C$40)-SUM(F660:F679)-SUM(H660:H660))))</x:f>
      </x:c>
      <x:c r="I661" s="88" t="str">
        <x:f>IF(C661="","",MAX(0,ROUND(D661+E661-F661-G661-H661,2)))</x:f>
      </x:c>
      <x:c r="J661" s="88" t="str">
        <x:f>IF(C661="","",F661+G661+H661)</x:f>
      </x:c>
      <x:c r="K661" s="88" t="str">
        <x:f>IF(C661="","",MAX(0,SUMIFS(SONDERZAHLUNGEN!$E$9:$E$128,SONDERZAHLUNGEN!$B$9:$B$128,C661,SONDERZAHLUNGEN!$C$9:$C$128,A661,SONDERZAHLUNGEN!$H$9:$H$128,"OK",SONDERZAHLUNGEN!$F$9:$F$128,"Ja")-G661))</x:f>
      </x:c>
    </x:row>
    <x:row r="662" ht="19" customHeight="1">
      <x:c r="A662" s="90" t="n">
        <x:f>MONATSBUDGET!$A$40</x:f>
        <x:v>47209</x:v>
      </x:c>
      <x:c r="B662" t="n">
        <x:f>3</x:f>
        <x:v>3</x:v>
      </x:c>
      <x:c r="C662" t="str">
        <x:f>IF($N$11="","",$N$11)</x:f>
      </x:c>
      <x:c r="D662" s="88" t="str">
        <x:f>IF(C662="","",I642)</x:f>
      </x:c>
      <x:c r="E662" s="88" t="str">
        <x:f>IF(C662="","",ROUND(D662*$P$11/12,2))</x:f>
      </x:c>
      <x:c r="F662" s="88" t="str">
        <x:f>IF(C662="","",MIN(D662+E662,$Q$11))</x:f>
      </x:c>
      <x:c r="G662" s="88" t="str">
        <x:f>IF(C662="","",MIN(MAX(0,D662+E662-F662),SUMIFS(SONDERZAHLUNGEN!$E$9:$E$128,SONDERZAHLUNGEN!$B$9:$B$128,C662,SONDERZAHLUNGEN!$C$9:$C$128,A662,SONDERZAHLUNGEN!$H$9:$H$128,"OK",SONDERZAHLUNGEN!$F$9:$F$128,"Ja")))</x:f>
      </x:c>
      <x:c r="H662" s="88" t="str">
        <x:f>IF(C662="","",MIN(MAX(0,D662+E662-F662-G662),MAX(0,IF(MONATSBUDGET!$C$40="",0,MONATSBUDGET!$C$40)-SUM(F660:F679)-SUM(H660:H661))))</x:f>
      </x:c>
      <x:c r="I662" s="88" t="str">
        <x:f>IF(C662="","",MAX(0,ROUND(D662+E662-F662-G662-H662,2)))</x:f>
      </x:c>
      <x:c r="J662" s="88" t="str">
        <x:f>IF(C662="","",F662+G662+H662)</x:f>
      </x:c>
      <x:c r="K662" s="88" t="str">
        <x:f>IF(C662="","",MAX(0,SUMIFS(SONDERZAHLUNGEN!$E$9:$E$128,SONDERZAHLUNGEN!$B$9:$B$128,C662,SONDERZAHLUNGEN!$C$9:$C$128,A662,SONDERZAHLUNGEN!$H$9:$H$128,"OK",SONDERZAHLUNGEN!$F$9:$F$128,"Ja")-G662))</x:f>
      </x:c>
    </x:row>
    <x:row r="663" ht="19" customHeight="1">
      <x:c r="A663" s="90" t="n">
        <x:f>MONATSBUDGET!$A$40</x:f>
        <x:v>47209</x:v>
      </x:c>
      <x:c r="B663" t="n">
        <x:f>4</x:f>
        <x:v>4</x:v>
      </x:c>
      <x:c r="C663" t="str">
        <x:f>IF($N$12="","",$N$12)</x:f>
      </x:c>
      <x:c r="D663" s="88" t="str">
        <x:f>IF(C663="","",I643)</x:f>
      </x:c>
      <x:c r="E663" s="88" t="str">
        <x:f>IF(C663="","",ROUND(D663*$P$12/12,2))</x:f>
      </x:c>
      <x:c r="F663" s="88" t="str">
        <x:f>IF(C663="","",MIN(D663+E663,$Q$12))</x:f>
      </x:c>
      <x:c r="G663" s="88" t="str">
        <x:f>IF(C663="","",MIN(MAX(0,D663+E663-F663),SUMIFS(SONDERZAHLUNGEN!$E$9:$E$128,SONDERZAHLUNGEN!$B$9:$B$128,C663,SONDERZAHLUNGEN!$C$9:$C$128,A663,SONDERZAHLUNGEN!$H$9:$H$128,"OK",SONDERZAHLUNGEN!$F$9:$F$128,"Ja")))</x:f>
      </x:c>
      <x:c r="H663" s="88" t="str">
        <x:f>IF(C663="","",MIN(MAX(0,D663+E663-F663-G663),MAX(0,IF(MONATSBUDGET!$C$40="",0,MONATSBUDGET!$C$40)-SUM(F660:F679)-SUM(H660:H662))))</x:f>
      </x:c>
      <x:c r="I663" s="88" t="str">
        <x:f>IF(C663="","",MAX(0,ROUND(D663+E663-F663-G663-H663,2)))</x:f>
      </x:c>
      <x:c r="J663" s="88" t="str">
        <x:f>IF(C663="","",F663+G663+H663)</x:f>
      </x:c>
      <x:c r="K663" s="88" t="str">
        <x:f>IF(C663="","",MAX(0,SUMIFS(SONDERZAHLUNGEN!$E$9:$E$128,SONDERZAHLUNGEN!$B$9:$B$128,C663,SONDERZAHLUNGEN!$C$9:$C$128,A663,SONDERZAHLUNGEN!$H$9:$H$128,"OK",SONDERZAHLUNGEN!$F$9:$F$128,"Ja")-G663))</x:f>
      </x:c>
    </x:row>
    <x:row r="664" ht="19" customHeight="1">
      <x:c r="A664" s="90" t="n">
        <x:f>MONATSBUDGET!$A$40</x:f>
        <x:v>47209</x:v>
      </x:c>
      <x:c r="B664" t="n">
        <x:f>5</x:f>
        <x:v>5</x:v>
      </x:c>
      <x:c r="C664" t="str">
        <x:f>IF($N$13="","",$N$13)</x:f>
      </x:c>
      <x:c r="D664" s="88" t="str">
        <x:f>IF(C664="","",I644)</x:f>
      </x:c>
      <x:c r="E664" s="88" t="str">
        <x:f>IF(C664="","",ROUND(D664*$P$13/12,2))</x:f>
      </x:c>
      <x:c r="F664" s="88" t="str">
        <x:f>IF(C664="","",MIN(D664+E664,$Q$13))</x:f>
      </x:c>
      <x:c r="G664" s="88" t="str">
        <x:f>IF(C664="","",MIN(MAX(0,D664+E664-F664),SUMIFS(SONDERZAHLUNGEN!$E$9:$E$128,SONDERZAHLUNGEN!$B$9:$B$128,C664,SONDERZAHLUNGEN!$C$9:$C$128,A664,SONDERZAHLUNGEN!$H$9:$H$128,"OK",SONDERZAHLUNGEN!$F$9:$F$128,"Ja")))</x:f>
      </x:c>
      <x:c r="H664" s="88" t="str">
        <x:f>IF(C664="","",MIN(MAX(0,D664+E664-F664-G664),MAX(0,IF(MONATSBUDGET!$C$40="",0,MONATSBUDGET!$C$40)-SUM(F660:F679)-SUM(H660:H663))))</x:f>
      </x:c>
      <x:c r="I664" s="88" t="str">
        <x:f>IF(C664="","",MAX(0,ROUND(D664+E664-F664-G664-H664,2)))</x:f>
      </x:c>
      <x:c r="J664" s="88" t="str">
        <x:f>IF(C664="","",F664+G664+H664)</x:f>
      </x:c>
      <x:c r="K664" s="88" t="str">
        <x:f>IF(C664="","",MAX(0,SUMIFS(SONDERZAHLUNGEN!$E$9:$E$128,SONDERZAHLUNGEN!$B$9:$B$128,C664,SONDERZAHLUNGEN!$C$9:$C$128,A664,SONDERZAHLUNGEN!$H$9:$H$128,"OK",SONDERZAHLUNGEN!$F$9:$F$128,"Ja")-G664))</x:f>
      </x:c>
    </x:row>
    <x:row r="665" ht="19" customHeight="1">
      <x:c r="A665" s="90" t="n">
        <x:f>MONATSBUDGET!$A$40</x:f>
        <x:v>47209</x:v>
      </x:c>
      <x:c r="B665" t="n">
        <x:f>6</x:f>
        <x:v>6</x:v>
      </x:c>
      <x:c r="C665" t="str">
        <x:f>IF($N$14="","",$N$14)</x:f>
      </x:c>
      <x:c r="D665" s="88" t="str">
        <x:f>IF(C665="","",I645)</x:f>
      </x:c>
      <x:c r="E665" s="88" t="str">
        <x:f>IF(C665="","",ROUND(D665*$P$14/12,2))</x:f>
      </x:c>
      <x:c r="F665" s="88" t="str">
        <x:f>IF(C665="","",MIN(D665+E665,$Q$14))</x:f>
      </x:c>
      <x:c r="G665" s="88" t="str">
        <x:f>IF(C665="","",MIN(MAX(0,D665+E665-F665),SUMIFS(SONDERZAHLUNGEN!$E$9:$E$128,SONDERZAHLUNGEN!$B$9:$B$128,C665,SONDERZAHLUNGEN!$C$9:$C$128,A665,SONDERZAHLUNGEN!$H$9:$H$128,"OK",SONDERZAHLUNGEN!$F$9:$F$128,"Ja")))</x:f>
      </x:c>
      <x:c r="H665" s="88" t="str">
        <x:f>IF(C665="","",MIN(MAX(0,D665+E665-F665-G665),MAX(0,IF(MONATSBUDGET!$C$40="",0,MONATSBUDGET!$C$40)-SUM(F660:F679)-SUM(H660:H664))))</x:f>
      </x:c>
      <x:c r="I665" s="88" t="str">
        <x:f>IF(C665="","",MAX(0,ROUND(D665+E665-F665-G665-H665,2)))</x:f>
      </x:c>
      <x:c r="J665" s="88" t="str">
        <x:f>IF(C665="","",F665+G665+H665)</x:f>
      </x:c>
      <x:c r="K665" s="88" t="str">
        <x:f>IF(C665="","",MAX(0,SUMIFS(SONDERZAHLUNGEN!$E$9:$E$128,SONDERZAHLUNGEN!$B$9:$B$128,C665,SONDERZAHLUNGEN!$C$9:$C$128,A665,SONDERZAHLUNGEN!$H$9:$H$128,"OK",SONDERZAHLUNGEN!$F$9:$F$128,"Ja")-G665))</x:f>
      </x:c>
    </x:row>
    <x:row r="666" ht="19" customHeight="1">
      <x:c r="A666" s="90" t="n">
        <x:f>MONATSBUDGET!$A$40</x:f>
        <x:v>47209</x:v>
      </x:c>
      <x:c r="B666" t="n">
        <x:f>7</x:f>
        <x:v>7</x:v>
      </x:c>
      <x:c r="C666" t="str">
        <x:f>IF($N$15="","",$N$15)</x:f>
      </x:c>
      <x:c r="D666" s="88" t="str">
        <x:f>IF(C666="","",I646)</x:f>
      </x:c>
      <x:c r="E666" s="88" t="str">
        <x:f>IF(C666="","",ROUND(D666*$P$15/12,2))</x:f>
      </x:c>
      <x:c r="F666" s="88" t="str">
        <x:f>IF(C666="","",MIN(D666+E666,$Q$15))</x:f>
      </x:c>
      <x:c r="G666" s="88" t="str">
        <x:f>IF(C666="","",MIN(MAX(0,D666+E666-F666),SUMIFS(SONDERZAHLUNGEN!$E$9:$E$128,SONDERZAHLUNGEN!$B$9:$B$128,C666,SONDERZAHLUNGEN!$C$9:$C$128,A666,SONDERZAHLUNGEN!$H$9:$H$128,"OK",SONDERZAHLUNGEN!$F$9:$F$128,"Ja")))</x:f>
      </x:c>
      <x:c r="H666" s="88" t="str">
        <x:f>IF(C666="","",MIN(MAX(0,D666+E666-F666-G666),MAX(0,IF(MONATSBUDGET!$C$40="",0,MONATSBUDGET!$C$40)-SUM(F660:F679)-SUM(H660:H665))))</x:f>
      </x:c>
      <x:c r="I666" s="88" t="str">
        <x:f>IF(C666="","",MAX(0,ROUND(D666+E666-F666-G666-H666,2)))</x:f>
      </x:c>
      <x:c r="J666" s="88" t="str">
        <x:f>IF(C666="","",F666+G666+H666)</x:f>
      </x:c>
      <x:c r="K666" s="88" t="str">
        <x:f>IF(C666="","",MAX(0,SUMIFS(SONDERZAHLUNGEN!$E$9:$E$128,SONDERZAHLUNGEN!$B$9:$B$128,C666,SONDERZAHLUNGEN!$C$9:$C$128,A666,SONDERZAHLUNGEN!$H$9:$H$128,"OK",SONDERZAHLUNGEN!$F$9:$F$128,"Ja")-G666))</x:f>
      </x:c>
    </x:row>
    <x:row r="667" ht="19" customHeight="1">
      <x:c r="A667" s="90" t="n">
        <x:f>MONATSBUDGET!$A$40</x:f>
        <x:v>47209</x:v>
      </x:c>
      <x:c r="B667" t="n">
        <x:f>8</x:f>
        <x:v>8</x:v>
      </x:c>
      <x:c r="C667" t="str">
        <x:f>IF($N$16="","",$N$16)</x:f>
      </x:c>
      <x:c r="D667" s="88" t="str">
        <x:f>IF(C667="","",I647)</x:f>
      </x:c>
      <x:c r="E667" s="88" t="str">
        <x:f>IF(C667="","",ROUND(D667*$P$16/12,2))</x:f>
      </x:c>
      <x:c r="F667" s="88" t="str">
        <x:f>IF(C667="","",MIN(D667+E667,$Q$16))</x:f>
      </x:c>
      <x:c r="G667" s="88" t="str">
        <x:f>IF(C667="","",MIN(MAX(0,D667+E667-F667),SUMIFS(SONDERZAHLUNGEN!$E$9:$E$128,SONDERZAHLUNGEN!$B$9:$B$128,C667,SONDERZAHLUNGEN!$C$9:$C$128,A667,SONDERZAHLUNGEN!$H$9:$H$128,"OK",SONDERZAHLUNGEN!$F$9:$F$128,"Ja")))</x:f>
      </x:c>
      <x:c r="H667" s="88" t="str">
        <x:f>IF(C667="","",MIN(MAX(0,D667+E667-F667-G667),MAX(0,IF(MONATSBUDGET!$C$40="",0,MONATSBUDGET!$C$40)-SUM(F660:F679)-SUM(H660:H666))))</x:f>
      </x:c>
      <x:c r="I667" s="88" t="str">
        <x:f>IF(C667="","",MAX(0,ROUND(D667+E667-F667-G667-H667,2)))</x:f>
      </x:c>
      <x:c r="J667" s="88" t="str">
        <x:f>IF(C667="","",F667+G667+H667)</x:f>
      </x:c>
      <x:c r="K667" s="88" t="str">
        <x:f>IF(C667="","",MAX(0,SUMIFS(SONDERZAHLUNGEN!$E$9:$E$128,SONDERZAHLUNGEN!$B$9:$B$128,C667,SONDERZAHLUNGEN!$C$9:$C$128,A667,SONDERZAHLUNGEN!$H$9:$H$128,"OK",SONDERZAHLUNGEN!$F$9:$F$128,"Ja")-G667))</x:f>
      </x:c>
    </x:row>
    <x:row r="668" ht="19" customHeight="1">
      <x:c r="A668" s="90" t="n">
        <x:f>MONATSBUDGET!$A$40</x:f>
        <x:v>47209</x:v>
      </x:c>
      <x:c r="B668" t="n">
        <x:f>9</x:f>
        <x:v>9</x:v>
      </x:c>
      <x:c r="C668" t="str">
        <x:f>IF($N$17="","",$N$17)</x:f>
      </x:c>
      <x:c r="D668" s="88" t="str">
        <x:f>IF(C668="","",I648)</x:f>
      </x:c>
      <x:c r="E668" s="88" t="str">
        <x:f>IF(C668="","",ROUND(D668*$P$17/12,2))</x:f>
      </x:c>
      <x:c r="F668" s="88" t="str">
        <x:f>IF(C668="","",MIN(D668+E668,$Q$17))</x:f>
      </x:c>
      <x:c r="G668" s="88" t="str">
        <x:f>IF(C668="","",MIN(MAX(0,D668+E668-F668),SUMIFS(SONDERZAHLUNGEN!$E$9:$E$128,SONDERZAHLUNGEN!$B$9:$B$128,C668,SONDERZAHLUNGEN!$C$9:$C$128,A668,SONDERZAHLUNGEN!$H$9:$H$128,"OK",SONDERZAHLUNGEN!$F$9:$F$128,"Ja")))</x:f>
      </x:c>
      <x:c r="H668" s="88" t="str">
        <x:f>IF(C668="","",MIN(MAX(0,D668+E668-F668-G668),MAX(0,IF(MONATSBUDGET!$C$40="",0,MONATSBUDGET!$C$40)-SUM(F660:F679)-SUM(H660:H667))))</x:f>
      </x:c>
      <x:c r="I668" s="88" t="str">
        <x:f>IF(C668="","",MAX(0,ROUND(D668+E668-F668-G668-H668,2)))</x:f>
      </x:c>
      <x:c r="J668" s="88" t="str">
        <x:f>IF(C668="","",F668+G668+H668)</x:f>
      </x:c>
      <x:c r="K668" s="88" t="str">
        <x:f>IF(C668="","",MAX(0,SUMIFS(SONDERZAHLUNGEN!$E$9:$E$128,SONDERZAHLUNGEN!$B$9:$B$128,C668,SONDERZAHLUNGEN!$C$9:$C$128,A668,SONDERZAHLUNGEN!$H$9:$H$128,"OK",SONDERZAHLUNGEN!$F$9:$F$128,"Ja")-G668))</x:f>
      </x:c>
    </x:row>
    <x:row r="669" ht="19" customHeight="1">
      <x:c r="A669" s="90" t="n">
        <x:f>MONATSBUDGET!$A$40</x:f>
        <x:v>47209</x:v>
      </x:c>
      <x:c r="B669" t="n">
        <x:f>10</x:f>
        <x:v>10</x:v>
      </x:c>
      <x:c r="C669" t="str">
        <x:f>IF($N$18="","",$N$18)</x:f>
      </x:c>
      <x:c r="D669" s="88" t="str">
        <x:f>IF(C669="","",I649)</x:f>
      </x:c>
      <x:c r="E669" s="88" t="str">
        <x:f>IF(C669="","",ROUND(D669*$P$18/12,2))</x:f>
      </x:c>
      <x:c r="F669" s="88" t="str">
        <x:f>IF(C669="","",MIN(D669+E669,$Q$18))</x:f>
      </x:c>
      <x:c r="G669" s="88" t="str">
        <x:f>IF(C669="","",MIN(MAX(0,D669+E669-F669),SUMIFS(SONDERZAHLUNGEN!$E$9:$E$128,SONDERZAHLUNGEN!$B$9:$B$128,C669,SONDERZAHLUNGEN!$C$9:$C$128,A669,SONDERZAHLUNGEN!$H$9:$H$128,"OK",SONDERZAHLUNGEN!$F$9:$F$128,"Ja")))</x:f>
      </x:c>
      <x:c r="H669" s="88" t="str">
        <x:f>IF(C669="","",MIN(MAX(0,D669+E669-F669-G669),MAX(0,IF(MONATSBUDGET!$C$40="",0,MONATSBUDGET!$C$40)-SUM(F660:F679)-SUM(H660:H668))))</x:f>
      </x:c>
      <x:c r="I669" s="88" t="str">
        <x:f>IF(C669="","",MAX(0,ROUND(D669+E669-F669-G669-H669,2)))</x:f>
      </x:c>
      <x:c r="J669" s="88" t="str">
        <x:f>IF(C669="","",F669+G669+H669)</x:f>
      </x:c>
      <x:c r="K669" s="88" t="str">
        <x:f>IF(C669="","",MAX(0,SUMIFS(SONDERZAHLUNGEN!$E$9:$E$128,SONDERZAHLUNGEN!$B$9:$B$128,C669,SONDERZAHLUNGEN!$C$9:$C$128,A669,SONDERZAHLUNGEN!$H$9:$H$128,"OK",SONDERZAHLUNGEN!$F$9:$F$128,"Ja")-G669))</x:f>
      </x:c>
    </x:row>
    <x:row r="670" ht="19" customHeight="1">
      <x:c r="A670" s="90" t="n">
        <x:f>MONATSBUDGET!$A$40</x:f>
        <x:v>47209</x:v>
      </x:c>
      <x:c r="B670" t="n">
        <x:f>11</x:f>
        <x:v>11</x:v>
      </x:c>
      <x:c r="C670" t="str">
        <x:f>IF($N$19="","",$N$19)</x:f>
      </x:c>
      <x:c r="D670" s="88" t="str">
        <x:f>IF(C670="","",I650)</x:f>
      </x:c>
      <x:c r="E670" s="88" t="str">
        <x:f>IF(C670="","",ROUND(D670*$P$19/12,2))</x:f>
      </x:c>
      <x:c r="F670" s="88" t="str">
        <x:f>IF(C670="","",MIN(D670+E670,$Q$19))</x:f>
      </x:c>
      <x:c r="G670" s="88" t="str">
        <x:f>IF(C670="","",MIN(MAX(0,D670+E670-F670),SUMIFS(SONDERZAHLUNGEN!$E$9:$E$128,SONDERZAHLUNGEN!$B$9:$B$128,C670,SONDERZAHLUNGEN!$C$9:$C$128,A670,SONDERZAHLUNGEN!$H$9:$H$128,"OK",SONDERZAHLUNGEN!$F$9:$F$128,"Ja")))</x:f>
      </x:c>
      <x:c r="H670" s="88" t="str">
        <x:f>IF(C670="","",MIN(MAX(0,D670+E670-F670-G670),MAX(0,IF(MONATSBUDGET!$C$40="",0,MONATSBUDGET!$C$40)-SUM(F660:F679)-SUM(H660:H669))))</x:f>
      </x:c>
      <x:c r="I670" s="88" t="str">
        <x:f>IF(C670="","",MAX(0,ROUND(D670+E670-F670-G670-H670,2)))</x:f>
      </x:c>
      <x:c r="J670" s="88" t="str">
        <x:f>IF(C670="","",F670+G670+H670)</x:f>
      </x:c>
      <x:c r="K670" s="88" t="str">
        <x:f>IF(C670="","",MAX(0,SUMIFS(SONDERZAHLUNGEN!$E$9:$E$128,SONDERZAHLUNGEN!$B$9:$B$128,C670,SONDERZAHLUNGEN!$C$9:$C$128,A670,SONDERZAHLUNGEN!$H$9:$H$128,"OK",SONDERZAHLUNGEN!$F$9:$F$128,"Ja")-G670))</x:f>
      </x:c>
    </x:row>
    <x:row r="671" ht="19" customHeight="1">
      <x:c r="A671" s="90" t="n">
        <x:f>MONATSBUDGET!$A$40</x:f>
        <x:v>47209</x:v>
      </x:c>
      <x:c r="B671" t="n">
        <x:f>12</x:f>
        <x:v>12</x:v>
      </x:c>
      <x:c r="C671" t="str">
        <x:f>IF($N$20="","",$N$20)</x:f>
      </x:c>
      <x:c r="D671" s="88" t="str">
        <x:f>IF(C671="","",I651)</x:f>
      </x:c>
      <x:c r="E671" s="88" t="str">
        <x:f>IF(C671="","",ROUND(D671*$P$20/12,2))</x:f>
      </x:c>
      <x:c r="F671" s="88" t="str">
        <x:f>IF(C671="","",MIN(D671+E671,$Q$20))</x:f>
      </x:c>
      <x:c r="G671" s="88" t="str">
        <x:f>IF(C671="","",MIN(MAX(0,D671+E671-F671),SUMIFS(SONDERZAHLUNGEN!$E$9:$E$128,SONDERZAHLUNGEN!$B$9:$B$128,C671,SONDERZAHLUNGEN!$C$9:$C$128,A671,SONDERZAHLUNGEN!$H$9:$H$128,"OK",SONDERZAHLUNGEN!$F$9:$F$128,"Ja")))</x:f>
      </x:c>
      <x:c r="H671" s="88" t="str">
        <x:f>IF(C671="","",MIN(MAX(0,D671+E671-F671-G671),MAX(0,IF(MONATSBUDGET!$C$40="",0,MONATSBUDGET!$C$40)-SUM(F660:F679)-SUM(H660:H670))))</x:f>
      </x:c>
      <x:c r="I671" s="88" t="str">
        <x:f>IF(C671="","",MAX(0,ROUND(D671+E671-F671-G671-H671,2)))</x:f>
      </x:c>
      <x:c r="J671" s="88" t="str">
        <x:f>IF(C671="","",F671+G671+H671)</x:f>
      </x:c>
      <x:c r="K671" s="88" t="str">
        <x:f>IF(C671="","",MAX(0,SUMIFS(SONDERZAHLUNGEN!$E$9:$E$128,SONDERZAHLUNGEN!$B$9:$B$128,C671,SONDERZAHLUNGEN!$C$9:$C$128,A671,SONDERZAHLUNGEN!$H$9:$H$128,"OK",SONDERZAHLUNGEN!$F$9:$F$128,"Ja")-G671))</x:f>
      </x:c>
    </x:row>
    <x:row r="672" ht="19" customHeight="1">
      <x:c r="A672" s="90" t="n">
        <x:f>MONATSBUDGET!$A$40</x:f>
        <x:v>47209</x:v>
      </x:c>
      <x:c r="B672" t="n">
        <x:f>13</x:f>
        <x:v>13</x:v>
      </x:c>
      <x:c r="C672" t="str">
        <x:f>IF($N$21="","",$N$21)</x:f>
      </x:c>
      <x:c r="D672" s="88" t="str">
        <x:f>IF(C672="","",I652)</x:f>
      </x:c>
      <x:c r="E672" s="88" t="str">
        <x:f>IF(C672="","",ROUND(D672*$P$21/12,2))</x:f>
      </x:c>
      <x:c r="F672" s="88" t="str">
        <x:f>IF(C672="","",MIN(D672+E672,$Q$21))</x:f>
      </x:c>
      <x:c r="G672" s="88" t="str">
        <x:f>IF(C672="","",MIN(MAX(0,D672+E672-F672),SUMIFS(SONDERZAHLUNGEN!$E$9:$E$128,SONDERZAHLUNGEN!$B$9:$B$128,C672,SONDERZAHLUNGEN!$C$9:$C$128,A672,SONDERZAHLUNGEN!$H$9:$H$128,"OK",SONDERZAHLUNGEN!$F$9:$F$128,"Ja")))</x:f>
      </x:c>
      <x:c r="H672" s="88" t="str">
        <x:f>IF(C672="","",MIN(MAX(0,D672+E672-F672-G672),MAX(0,IF(MONATSBUDGET!$C$40="",0,MONATSBUDGET!$C$40)-SUM(F660:F679)-SUM(H660:H671))))</x:f>
      </x:c>
      <x:c r="I672" s="88" t="str">
        <x:f>IF(C672="","",MAX(0,ROUND(D672+E672-F672-G672-H672,2)))</x:f>
      </x:c>
      <x:c r="J672" s="88" t="str">
        <x:f>IF(C672="","",F672+G672+H672)</x:f>
      </x:c>
      <x:c r="K672" s="88" t="str">
        <x:f>IF(C672="","",MAX(0,SUMIFS(SONDERZAHLUNGEN!$E$9:$E$128,SONDERZAHLUNGEN!$B$9:$B$128,C672,SONDERZAHLUNGEN!$C$9:$C$128,A672,SONDERZAHLUNGEN!$H$9:$H$128,"OK",SONDERZAHLUNGEN!$F$9:$F$128,"Ja")-G672))</x:f>
      </x:c>
    </x:row>
    <x:row r="673" ht="19" customHeight="1">
      <x:c r="A673" s="90" t="n">
        <x:f>MONATSBUDGET!$A$40</x:f>
        <x:v>47209</x:v>
      </x:c>
      <x:c r="B673" t="n">
        <x:f>14</x:f>
        <x:v>14</x:v>
      </x:c>
      <x:c r="C673" t="str">
        <x:f>IF($N$22="","",$N$22)</x:f>
      </x:c>
      <x:c r="D673" s="88" t="str">
        <x:f>IF(C673="","",I653)</x:f>
      </x:c>
      <x:c r="E673" s="88" t="str">
        <x:f>IF(C673="","",ROUND(D673*$P$22/12,2))</x:f>
      </x:c>
      <x:c r="F673" s="88" t="str">
        <x:f>IF(C673="","",MIN(D673+E673,$Q$22))</x:f>
      </x:c>
      <x:c r="G673" s="88" t="str">
        <x:f>IF(C673="","",MIN(MAX(0,D673+E673-F673),SUMIFS(SONDERZAHLUNGEN!$E$9:$E$128,SONDERZAHLUNGEN!$B$9:$B$128,C673,SONDERZAHLUNGEN!$C$9:$C$128,A673,SONDERZAHLUNGEN!$H$9:$H$128,"OK",SONDERZAHLUNGEN!$F$9:$F$128,"Ja")))</x:f>
      </x:c>
      <x:c r="H673" s="88" t="str">
        <x:f>IF(C673="","",MIN(MAX(0,D673+E673-F673-G673),MAX(0,IF(MONATSBUDGET!$C$40="",0,MONATSBUDGET!$C$40)-SUM(F660:F679)-SUM(H660:H672))))</x:f>
      </x:c>
      <x:c r="I673" s="88" t="str">
        <x:f>IF(C673="","",MAX(0,ROUND(D673+E673-F673-G673-H673,2)))</x:f>
      </x:c>
      <x:c r="J673" s="88" t="str">
        <x:f>IF(C673="","",F673+G673+H673)</x:f>
      </x:c>
      <x:c r="K673" s="88" t="str">
        <x:f>IF(C673="","",MAX(0,SUMIFS(SONDERZAHLUNGEN!$E$9:$E$128,SONDERZAHLUNGEN!$B$9:$B$128,C673,SONDERZAHLUNGEN!$C$9:$C$128,A673,SONDERZAHLUNGEN!$H$9:$H$128,"OK",SONDERZAHLUNGEN!$F$9:$F$128,"Ja")-G673))</x:f>
      </x:c>
    </x:row>
    <x:row r="674" ht="19" customHeight="1">
      <x:c r="A674" s="90" t="n">
        <x:f>MONATSBUDGET!$A$40</x:f>
        <x:v>47209</x:v>
      </x:c>
      <x:c r="B674" t="n">
        <x:f>15</x:f>
        <x:v>15</x:v>
      </x:c>
      <x:c r="C674" t="str">
        <x:f>IF($N$23="","",$N$23)</x:f>
      </x:c>
      <x:c r="D674" s="88" t="str">
        <x:f>IF(C674="","",I654)</x:f>
      </x:c>
      <x:c r="E674" s="88" t="str">
        <x:f>IF(C674="","",ROUND(D674*$P$23/12,2))</x:f>
      </x:c>
      <x:c r="F674" s="88" t="str">
        <x:f>IF(C674="","",MIN(D674+E674,$Q$23))</x:f>
      </x:c>
      <x:c r="G674" s="88" t="str">
        <x:f>IF(C674="","",MIN(MAX(0,D674+E674-F674),SUMIFS(SONDERZAHLUNGEN!$E$9:$E$128,SONDERZAHLUNGEN!$B$9:$B$128,C674,SONDERZAHLUNGEN!$C$9:$C$128,A674,SONDERZAHLUNGEN!$H$9:$H$128,"OK",SONDERZAHLUNGEN!$F$9:$F$128,"Ja")))</x:f>
      </x:c>
      <x:c r="H674" s="88" t="str">
        <x:f>IF(C674="","",MIN(MAX(0,D674+E674-F674-G674),MAX(0,IF(MONATSBUDGET!$C$40="",0,MONATSBUDGET!$C$40)-SUM(F660:F679)-SUM(H660:H673))))</x:f>
      </x:c>
      <x:c r="I674" s="88" t="str">
        <x:f>IF(C674="","",MAX(0,ROUND(D674+E674-F674-G674-H674,2)))</x:f>
      </x:c>
      <x:c r="J674" s="88" t="str">
        <x:f>IF(C674="","",F674+G674+H674)</x:f>
      </x:c>
      <x:c r="K674" s="88" t="str">
        <x:f>IF(C674="","",MAX(0,SUMIFS(SONDERZAHLUNGEN!$E$9:$E$128,SONDERZAHLUNGEN!$B$9:$B$128,C674,SONDERZAHLUNGEN!$C$9:$C$128,A674,SONDERZAHLUNGEN!$H$9:$H$128,"OK",SONDERZAHLUNGEN!$F$9:$F$128,"Ja")-G674))</x:f>
      </x:c>
    </x:row>
    <x:row r="675" ht="19" customHeight="1">
      <x:c r="A675" s="90" t="n">
        <x:f>MONATSBUDGET!$A$40</x:f>
        <x:v>47209</x:v>
      </x:c>
      <x:c r="B675" t="n">
        <x:f>16</x:f>
        <x:v>16</x:v>
      </x:c>
      <x:c r="C675" t="str">
        <x:f>IF($N$24="","",$N$24)</x:f>
      </x:c>
      <x:c r="D675" s="88" t="str">
        <x:f>IF(C675="","",I655)</x:f>
      </x:c>
      <x:c r="E675" s="88" t="str">
        <x:f>IF(C675="","",ROUND(D675*$P$24/12,2))</x:f>
      </x:c>
      <x:c r="F675" s="88" t="str">
        <x:f>IF(C675="","",MIN(D675+E675,$Q$24))</x:f>
      </x:c>
      <x:c r="G675" s="88" t="str">
        <x:f>IF(C675="","",MIN(MAX(0,D675+E675-F675),SUMIFS(SONDERZAHLUNGEN!$E$9:$E$128,SONDERZAHLUNGEN!$B$9:$B$128,C675,SONDERZAHLUNGEN!$C$9:$C$128,A675,SONDERZAHLUNGEN!$H$9:$H$128,"OK",SONDERZAHLUNGEN!$F$9:$F$128,"Ja")))</x:f>
      </x:c>
      <x:c r="H675" s="88" t="str">
        <x:f>IF(C675="","",MIN(MAX(0,D675+E675-F675-G675),MAX(0,IF(MONATSBUDGET!$C$40="",0,MONATSBUDGET!$C$40)-SUM(F660:F679)-SUM(H660:H674))))</x:f>
      </x:c>
      <x:c r="I675" s="88" t="str">
        <x:f>IF(C675="","",MAX(0,ROUND(D675+E675-F675-G675-H675,2)))</x:f>
      </x:c>
      <x:c r="J675" s="88" t="str">
        <x:f>IF(C675="","",F675+G675+H675)</x:f>
      </x:c>
      <x:c r="K675" s="88" t="str">
        <x:f>IF(C675="","",MAX(0,SUMIFS(SONDERZAHLUNGEN!$E$9:$E$128,SONDERZAHLUNGEN!$B$9:$B$128,C675,SONDERZAHLUNGEN!$C$9:$C$128,A675,SONDERZAHLUNGEN!$H$9:$H$128,"OK",SONDERZAHLUNGEN!$F$9:$F$128,"Ja")-G675))</x:f>
      </x:c>
    </x:row>
    <x:row r="676" ht="19" customHeight="1">
      <x:c r="A676" s="90" t="n">
        <x:f>MONATSBUDGET!$A$40</x:f>
        <x:v>47209</x:v>
      </x:c>
      <x:c r="B676" t="n">
        <x:f>17</x:f>
        <x:v>17</x:v>
      </x:c>
      <x:c r="C676" t="str">
        <x:f>IF($N$25="","",$N$25)</x:f>
      </x:c>
      <x:c r="D676" s="88" t="str">
        <x:f>IF(C676="","",I656)</x:f>
      </x:c>
      <x:c r="E676" s="88" t="str">
        <x:f>IF(C676="","",ROUND(D676*$P$25/12,2))</x:f>
      </x:c>
      <x:c r="F676" s="88" t="str">
        <x:f>IF(C676="","",MIN(D676+E676,$Q$25))</x:f>
      </x:c>
      <x:c r="G676" s="88" t="str">
        <x:f>IF(C676="","",MIN(MAX(0,D676+E676-F676),SUMIFS(SONDERZAHLUNGEN!$E$9:$E$128,SONDERZAHLUNGEN!$B$9:$B$128,C676,SONDERZAHLUNGEN!$C$9:$C$128,A676,SONDERZAHLUNGEN!$H$9:$H$128,"OK",SONDERZAHLUNGEN!$F$9:$F$128,"Ja")))</x:f>
      </x:c>
      <x:c r="H676" s="88" t="str">
        <x:f>IF(C676="","",MIN(MAX(0,D676+E676-F676-G676),MAX(0,IF(MONATSBUDGET!$C$40="",0,MONATSBUDGET!$C$40)-SUM(F660:F679)-SUM(H660:H675))))</x:f>
      </x:c>
      <x:c r="I676" s="88" t="str">
        <x:f>IF(C676="","",MAX(0,ROUND(D676+E676-F676-G676-H676,2)))</x:f>
      </x:c>
      <x:c r="J676" s="88" t="str">
        <x:f>IF(C676="","",F676+G676+H676)</x:f>
      </x:c>
      <x:c r="K676" s="88" t="str">
        <x:f>IF(C676="","",MAX(0,SUMIFS(SONDERZAHLUNGEN!$E$9:$E$128,SONDERZAHLUNGEN!$B$9:$B$128,C676,SONDERZAHLUNGEN!$C$9:$C$128,A676,SONDERZAHLUNGEN!$H$9:$H$128,"OK",SONDERZAHLUNGEN!$F$9:$F$128,"Ja")-G676))</x:f>
      </x:c>
    </x:row>
    <x:row r="677" ht="19" customHeight="1">
      <x:c r="A677" s="90" t="n">
        <x:f>MONATSBUDGET!$A$40</x:f>
        <x:v>47209</x:v>
      </x:c>
      <x:c r="B677" t="n">
        <x:f>18</x:f>
        <x:v>18</x:v>
      </x:c>
      <x:c r="C677" t="str">
        <x:f>IF($N$26="","",$N$26)</x:f>
      </x:c>
      <x:c r="D677" s="88" t="str">
        <x:f>IF(C677="","",I657)</x:f>
      </x:c>
      <x:c r="E677" s="88" t="str">
        <x:f>IF(C677="","",ROUND(D677*$P$26/12,2))</x:f>
      </x:c>
      <x:c r="F677" s="88" t="str">
        <x:f>IF(C677="","",MIN(D677+E677,$Q$26))</x:f>
      </x:c>
      <x:c r="G677" s="88" t="str">
        <x:f>IF(C677="","",MIN(MAX(0,D677+E677-F677),SUMIFS(SONDERZAHLUNGEN!$E$9:$E$128,SONDERZAHLUNGEN!$B$9:$B$128,C677,SONDERZAHLUNGEN!$C$9:$C$128,A677,SONDERZAHLUNGEN!$H$9:$H$128,"OK",SONDERZAHLUNGEN!$F$9:$F$128,"Ja")))</x:f>
      </x:c>
      <x:c r="H677" s="88" t="str">
        <x:f>IF(C677="","",MIN(MAX(0,D677+E677-F677-G677),MAX(0,IF(MONATSBUDGET!$C$40="",0,MONATSBUDGET!$C$40)-SUM(F660:F679)-SUM(H660:H676))))</x:f>
      </x:c>
      <x:c r="I677" s="88" t="str">
        <x:f>IF(C677="","",MAX(0,ROUND(D677+E677-F677-G677-H677,2)))</x:f>
      </x:c>
      <x:c r="J677" s="88" t="str">
        <x:f>IF(C677="","",F677+G677+H677)</x:f>
      </x:c>
      <x:c r="K677" s="88" t="str">
        <x:f>IF(C677="","",MAX(0,SUMIFS(SONDERZAHLUNGEN!$E$9:$E$128,SONDERZAHLUNGEN!$B$9:$B$128,C677,SONDERZAHLUNGEN!$C$9:$C$128,A677,SONDERZAHLUNGEN!$H$9:$H$128,"OK",SONDERZAHLUNGEN!$F$9:$F$128,"Ja")-G677))</x:f>
      </x:c>
    </x:row>
    <x:row r="678" ht="19" customHeight="1">
      <x:c r="A678" s="90" t="n">
        <x:f>MONATSBUDGET!$A$40</x:f>
        <x:v>47209</x:v>
      </x:c>
      <x:c r="B678" t="n">
        <x:f>19</x:f>
        <x:v>19</x:v>
      </x:c>
      <x:c r="C678" t="str">
        <x:f>IF($N$27="","",$N$27)</x:f>
      </x:c>
      <x:c r="D678" s="88" t="str">
        <x:f>IF(C678="","",I658)</x:f>
      </x:c>
      <x:c r="E678" s="88" t="str">
        <x:f>IF(C678="","",ROUND(D678*$P$27/12,2))</x:f>
      </x:c>
      <x:c r="F678" s="88" t="str">
        <x:f>IF(C678="","",MIN(D678+E678,$Q$27))</x:f>
      </x:c>
      <x:c r="G678" s="88" t="str">
        <x:f>IF(C678="","",MIN(MAX(0,D678+E678-F678),SUMIFS(SONDERZAHLUNGEN!$E$9:$E$128,SONDERZAHLUNGEN!$B$9:$B$128,C678,SONDERZAHLUNGEN!$C$9:$C$128,A678,SONDERZAHLUNGEN!$H$9:$H$128,"OK",SONDERZAHLUNGEN!$F$9:$F$128,"Ja")))</x:f>
      </x:c>
      <x:c r="H678" s="88" t="str">
        <x:f>IF(C678="","",MIN(MAX(0,D678+E678-F678-G678),MAX(0,IF(MONATSBUDGET!$C$40="",0,MONATSBUDGET!$C$40)-SUM(F660:F679)-SUM(H660:H677))))</x:f>
      </x:c>
      <x:c r="I678" s="88" t="str">
        <x:f>IF(C678="","",MAX(0,ROUND(D678+E678-F678-G678-H678,2)))</x:f>
      </x:c>
      <x:c r="J678" s="88" t="str">
        <x:f>IF(C678="","",F678+G678+H678)</x:f>
      </x:c>
      <x:c r="K678" s="88" t="str">
        <x:f>IF(C678="","",MAX(0,SUMIFS(SONDERZAHLUNGEN!$E$9:$E$128,SONDERZAHLUNGEN!$B$9:$B$128,C678,SONDERZAHLUNGEN!$C$9:$C$128,A678,SONDERZAHLUNGEN!$H$9:$H$128,"OK",SONDERZAHLUNGEN!$F$9:$F$128,"Ja")-G678))</x:f>
      </x:c>
    </x:row>
    <x:row r="679" ht="19" customHeight="1">
      <x:c r="A679" s="90" t="n">
        <x:f>MONATSBUDGET!$A$40</x:f>
        <x:v>47209</x:v>
      </x:c>
      <x:c r="B679" t="n">
        <x:f>20</x:f>
        <x:v>20</x:v>
      </x:c>
      <x:c r="C679" t="str">
        <x:f>IF($N$28="","",$N$28)</x:f>
      </x:c>
      <x:c r="D679" s="88" t="str">
        <x:f>IF(C679="","",I659)</x:f>
      </x:c>
      <x:c r="E679" s="88" t="str">
        <x:f>IF(C679="","",ROUND(D679*$P$28/12,2))</x:f>
      </x:c>
      <x:c r="F679" s="88" t="str">
        <x:f>IF(C679="","",MIN(D679+E679,$Q$28))</x:f>
      </x:c>
      <x:c r="G679" s="88" t="str">
        <x:f>IF(C679="","",MIN(MAX(0,D679+E679-F679),SUMIFS(SONDERZAHLUNGEN!$E$9:$E$128,SONDERZAHLUNGEN!$B$9:$B$128,C679,SONDERZAHLUNGEN!$C$9:$C$128,A679,SONDERZAHLUNGEN!$H$9:$H$128,"OK",SONDERZAHLUNGEN!$F$9:$F$128,"Ja")))</x:f>
      </x:c>
      <x:c r="H679" s="88" t="str">
        <x:f>IF(C679="","",MIN(MAX(0,D679+E679-F679-G679),MAX(0,IF(MONATSBUDGET!$C$40="",0,MONATSBUDGET!$C$40)-SUM(F660:F679)-SUM(H660:H678))))</x:f>
      </x:c>
      <x:c r="I679" s="88" t="str">
        <x:f>IF(C679="","",MAX(0,ROUND(D679+E679-F679-G679-H679,2)))</x:f>
      </x:c>
      <x:c r="J679" s="88" t="str">
        <x:f>IF(C679="","",F679+G679+H679)</x:f>
      </x:c>
      <x:c r="K679" s="88" t="str">
        <x:f>IF(C679="","",MAX(0,SUMIFS(SONDERZAHLUNGEN!$E$9:$E$128,SONDERZAHLUNGEN!$B$9:$B$128,C679,SONDERZAHLUNGEN!$C$9:$C$128,A679,SONDERZAHLUNGEN!$H$9:$H$128,"OK",SONDERZAHLUNGEN!$F$9:$F$128,"Ja")-G679))</x:f>
      </x:c>
    </x:row>
    <x:row r="680" ht="19" customHeight="1">
      <x:c r="A680" s="90" t="n">
        <x:f>MONATSBUDGET!$A$41</x:f>
        <x:v>47239</x:v>
      </x:c>
      <x:c r="B680" t="n">
        <x:f>1</x:f>
        <x:v>1</x:v>
      </x:c>
      <x:c r="C680" t="str">
        <x:f>IF($N$9="","",$N$9)</x:f>
      </x:c>
      <x:c r="D680" s="88" t="str">
        <x:f>IF(C680="","",I660)</x:f>
      </x:c>
      <x:c r="E680" s="88" t="str">
        <x:f>IF(C680="","",ROUND(D680*$P$9/12,2))</x:f>
      </x:c>
      <x:c r="F680" s="88" t="str">
        <x:f>IF(C680="","",MIN(D680+E680,$Q$9))</x:f>
      </x:c>
      <x:c r="G680" s="88" t="str">
        <x:f>IF(C680="","",MIN(MAX(0,D680+E680-F680),SUMIFS(SONDERZAHLUNGEN!$E$9:$E$128,SONDERZAHLUNGEN!$B$9:$B$128,C680,SONDERZAHLUNGEN!$C$9:$C$128,A680,SONDERZAHLUNGEN!$H$9:$H$128,"OK",SONDERZAHLUNGEN!$F$9:$F$128,"Ja")))</x:f>
      </x:c>
      <x:c r="H680" s="88" t="str">
        <x:f>IF(C680="","",MIN(MAX(0,D680+E680-F680-G680),MAX(0,IF(MONATSBUDGET!$C$41="",0,MONATSBUDGET!$C$41)-SUM(F680:F699)-0)))</x:f>
      </x:c>
      <x:c r="I680" s="88" t="str">
        <x:f>IF(C680="","",MAX(0,ROUND(D680+E680-F680-G680-H680,2)))</x:f>
      </x:c>
      <x:c r="J680" s="88" t="str">
        <x:f>IF(C680="","",F680+G680+H680)</x:f>
      </x:c>
      <x:c r="K680" s="88" t="str">
        <x:f>IF(C680="","",MAX(0,SUMIFS(SONDERZAHLUNGEN!$E$9:$E$128,SONDERZAHLUNGEN!$B$9:$B$128,C680,SONDERZAHLUNGEN!$C$9:$C$128,A680,SONDERZAHLUNGEN!$H$9:$H$128,"OK",SONDERZAHLUNGEN!$F$9:$F$128,"Ja")-G680))</x:f>
      </x:c>
    </x:row>
    <x:row r="681" ht="19" customHeight="1">
      <x:c r="A681" s="90" t="n">
        <x:f>MONATSBUDGET!$A$41</x:f>
        <x:v>47239</x:v>
      </x:c>
      <x:c r="B681" t="n">
        <x:f>2</x:f>
        <x:v>2</x:v>
      </x:c>
      <x:c r="C681" t="str">
        <x:f>IF($N$10="","",$N$10)</x:f>
      </x:c>
      <x:c r="D681" s="88" t="str">
        <x:f>IF(C681="","",I661)</x:f>
      </x:c>
      <x:c r="E681" s="88" t="str">
        <x:f>IF(C681="","",ROUND(D681*$P$10/12,2))</x:f>
      </x:c>
      <x:c r="F681" s="88" t="str">
        <x:f>IF(C681="","",MIN(D681+E681,$Q$10))</x:f>
      </x:c>
      <x:c r="G681" s="88" t="str">
        <x:f>IF(C681="","",MIN(MAX(0,D681+E681-F681),SUMIFS(SONDERZAHLUNGEN!$E$9:$E$128,SONDERZAHLUNGEN!$B$9:$B$128,C681,SONDERZAHLUNGEN!$C$9:$C$128,A681,SONDERZAHLUNGEN!$H$9:$H$128,"OK",SONDERZAHLUNGEN!$F$9:$F$128,"Ja")))</x:f>
      </x:c>
      <x:c r="H681" s="88" t="str">
        <x:f>IF(C681="","",MIN(MAX(0,D681+E681-F681-G681),MAX(0,IF(MONATSBUDGET!$C$41="",0,MONATSBUDGET!$C$41)-SUM(F680:F699)-SUM(H680:H680))))</x:f>
      </x:c>
      <x:c r="I681" s="88" t="str">
        <x:f>IF(C681="","",MAX(0,ROUND(D681+E681-F681-G681-H681,2)))</x:f>
      </x:c>
      <x:c r="J681" s="88" t="str">
        <x:f>IF(C681="","",F681+G681+H681)</x:f>
      </x:c>
      <x:c r="K681" s="88" t="str">
        <x:f>IF(C681="","",MAX(0,SUMIFS(SONDERZAHLUNGEN!$E$9:$E$128,SONDERZAHLUNGEN!$B$9:$B$128,C681,SONDERZAHLUNGEN!$C$9:$C$128,A681,SONDERZAHLUNGEN!$H$9:$H$128,"OK",SONDERZAHLUNGEN!$F$9:$F$128,"Ja")-G681))</x:f>
      </x:c>
    </x:row>
    <x:row r="682" ht="19" customHeight="1">
      <x:c r="A682" s="90" t="n">
        <x:f>MONATSBUDGET!$A$41</x:f>
        <x:v>47239</x:v>
      </x:c>
      <x:c r="B682" t="n">
        <x:f>3</x:f>
        <x:v>3</x:v>
      </x:c>
      <x:c r="C682" t="str">
        <x:f>IF($N$11="","",$N$11)</x:f>
      </x:c>
      <x:c r="D682" s="88" t="str">
        <x:f>IF(C682="","",I662)</x:f>
      </x:c>
      <x:c r="E682" s="88" t="str">
        <x:f>IF(C682="","",ROUND(D682*$P$11/12,2))</x:f>
      </x:c>
      <x:c r="F682" s="88" t="str">
        <x:f>IF(C682="","",MIN(D682+E682,$Q$11))</x:f>
      </x:c>
      <x:c r="G682" s="88" t="str">
        <x:f>IF(C682="","",MIN(MAX(0,D682+E682-F682),SUMIFS(SONDERZAHLUNGEN!$E$9:$E$128,SONDERZAHLUNGEN!$B$9:$B$128,C682,SONDERZAHLUNGEN!$C$9:$C$128,A682,SONDERZAHLUNGEN!$H$9:$H$128,"OK",SONDERZAHLUNGEN!$F$9:$F$128,"Ja")))</x:f>
      </x:c>
      <x:c r="H682" s="88" t="str">
        <x:f>IF(C682="","",MIN(MAX(0,D682+E682-F682-G682),MAX(0,IF(MONATSBUDGET!$C$41="",0,MONATSBUDGET!$C$41)-SUM(F680:F699)-SUM(H680:H681))))</x:f>
      </x:c>
      <x:c r="I682" s="88" t="str">
        <x:f>IF(C682="","",MAX(0,ROUND(D682+E682-F682-G682-H682,2)))</x:f>
      </x:c>
      <x:c r="J682" s="88" t="str">
        <x:f>IF(C682="","",F682+G682+H682)</x:f>
      </x:c>
      <x:c r="K682" s="88" t="str">
        <x:f>IF(C682="","",MAX(0,SUMIFS(SONDERZAHLUNGEN!$E$9:$E$128,SONDERZAHLUNGEN!$B$9:$B$128,C682,SONDERZAHLUNGEN!$C$9:$C$128,A682,SONDERZAHLUNGEN!$H$9:$H$128,"OK",SONDERZAHLUNGEN!$F$9:$F$128,"Ja")-G682))</x:f>
      </x:c>
    </x:row>
    <x:row r="683" ht="19" customHeight="1">
      <x:c r="A683" s="90" t="n">
        <x:f>MONATSBUDGET!$A$41</x:f>
        <x:v>47239</x:v>
      </x:c>
      <x:c r="B683" t="n">
        <x:f>4</x:f>
        <x:v>4</x:v>
      </x:c>
      <x:c r="C683" t="str">
        <x:f>IF($N$12="","",$N$12)</x:f>
      </x:c>
      <x:c r="D683" s="88" t="str">
        <x:f>IF(C683="","",I663)</x:f>
      </x:c>
      <x:c r="E683" s="88" t="str">
        <x:f>IF(C683="","",ROUND(D683*$P$12/12,2))</x:f>
      </x:c>
      <x:c r="F683" s="88" t="str">
        <x:f>IF(C683="","",MIN(D683+E683,$Q$12))</x:f>
      </x:c>
      <x:c r="G683" s="88" t="str">
        <x:f>IF(C683="","",MIN(MAX(0,D683+E683-F683),SUMIFS(SONDERZAHLUNGEN!$E$9:$E$128,SONDERZAHLUNGEN!$B$9:$B$128,C683,SONDERZAHLUNGEN!$C$9:$C$128,A683,SONDERZAHLUNGEN!$H$9:$H$128,"OK",SONDERZAHLUNGEN!$F$9:$F$128,"Ja")))</x:f>
      </x:c>
      <x:c r="H683" s="88" t="str">
        <x:f>IF(C683="","",MIN(MAX(0,D683+E683-F683-G683),MAX(0,IF(MONATSBUDGET!$C$41="",0,MONATSBUDGET!$C$41)-SUM(F680:F699)-SUM(H680:H682))))</x:f>
      </x:c>
      <x:c r="I683" s="88" t="str">
        <x:f>IF(C683="","",MAX(0,ROUND(D683+E683-F683-G683-H683,2)))</x:f>
      </x:c>
      <x:c r="J683" s="88" t="str">
        <x:f>IF(C683="","",F683+G683+H683)</x:f>
      </x:c>
      <x:c r="K683" s="88" t="str">
        <x:f>IF(C683="","",MAX(0,SUMIFS(SONDERZAHLUNGEN!$E$9:$E$128,SONDERZAHLUNGEN!$B$9:$B$128,C683,SONDERZAHLUNGEN!$C$9:$C$128,A683,SONDERZAHLUNGEN!$H$9:$H$128,"OK",SONDERZAHLUNGEN!$F$9:$F$128,"Ja")-G683))</x:f>
      </x:c>
    </x:row>
    <x:row r="684" ht="19" customHeight="1">
      <x:c r="A684" s="90" t="n">
        <x:f>MONATSBUDGET!$A$41</x:f>
        <x:v>47239</x:v>
      </x:c>
      <x:c r="B684" t="n">
        <x:f>5</x:f>
        <x:v>5</x:v>
      </x:c>
      <x:c r="C684" t="str">
        <x:f>IF($N$13="","",$N$13)</x:f>
      </x:c>
      <x:c r="D684" s="88" t="str">
        <x:f>IF(C684="","",I664)</x:f>
      </x:c>
      <x:c r="E684" s="88" t="str">
        <x:f>IF(C684="","",ROUND(D684*$P$13/12,2))</x:f>
      </x:c>
      <x:c r="F684" s="88" t="str">
        <x:f>IF(C684="","",MIN(D684+E684,$Q$13))</x:f>
      </x:c>
      <x:c r="G684" s="88" t="str">
        <x:f>IF(C684="","",MIN(MAX(0,D684+E684-F684),SUMIFS(SONDERZAHLUNGEN!$E$9:$E$128,SONDERZAHLUNGEN!$B$9:$B$128,C684,SONDERZAHLUNGEN!$C$9:$C$128,A684,SONDERZAHLUNGEN!$H$9:$H$128,"OK",SONDERZAHLUNGEN!$F$9:$F$128,"Ja")))</x:f>
      </x:c>
      <x:c r="H684" s="88" t="str">
        <x:f>IF(C684="","",MIN(MAX(0,D684+E684-F684-G684),MAX(0,IF(MONATSBUDGET!$C$41="",0,MONATSBUDGET!$C$41)-SUM(F680:F699)-SUM(H680:H683))))</x:f>
      </x:c>
      <x:c r="I684" s="88" t="str">
        <x:f>IF(C684="","",MAX(0,ROUND(D684+E684-F684-G684-H684,2)))</x:f>
      </x:c>
      <x:c r="J684" s="88" t="str">
        <x:f>IF(C684="","",F684+G684+H684)</x:f>
      </x:c>
      <x:c r="K684" s="88" t="str">
        <x:f>IF(C684="","",MAX(0,SUMIFS(SONDERZAHLUNGEN!$E$9:$E$128,SONDERZAHLUNGEN!$B$9:$B$128,C684,SONDERZAHLUNGEN!$C$9:$C$128,A684,SONDERZAHLUNGEN!$H$9:$H$128,"OK",SONDERZAHLUNGEN!$F$9:$F$128,"Ja")-G684))</x:f>
      </x:c>
    </x:row>
    <x:row r="685" ht="19" customHeight="1">
      <x:c r="A685" s="90" t="n">
        <x:f>MONATSBUDGET!$A$41</x:f>
        <x:v>47239</x:v>
      </x:c>
      <x:c r="B685" t="n">
        <x:f>6</x:f>
        <x:v>6</x:v>
      </x:c>
      <x:c r="C685" t="str">
        <x:f>IF($N$14="","",$N$14)</x:f>
      </x:c>
      <x:c r="D685" s="88" t="str">
        <x:f>IF(C685="","",I665)</x:f>
      </x:c>
      <x:c r="E685" s="88" t="str">
        <x:f>IF(C685="","",ROUND(D685*$P$14/12,2))</x:f>
      </x:c>
      <x:c r="F685" s="88" t="str">
        <x:f>IF(C685="","",MIN(D685+E685,$Q$14))</x:f>
      </x:c>
      <x:c r="G685" s="88" t="str">
        <x:f>IF(C685="","",MIN(MAX(0,D685+E685-F685),SUMIFS(SONDERZAHLUNGEN!$E$9:$E$128,SONDERZAHLUNGEN!$B$9:$B$128,C685,SONDERZAHLUNGEN!$C$9:$C$128,A685,SONDERZAHLUNGEN!$H$9:$H$128,"OK",SONDERZAHLUNGEN!$F$9:$F$128,"Ja")))</x:f>
      </x:c>
      <x:c r="H685" s="88" t="str">
        <x:f>IF(C685="","",MIN(MAX(0,D685+E685-F685-G685),MAX(0,IF(MONATSBUDGET!$C$41="",0,MONATSBUDGET!$C$41)-SUM(F680:F699)-SUM(H680:H684))))</x:f>
      </x:c>
      <x:c r="I685" s="88" t="str">
        <x:f>IF(C685="","",MAX(0,ROUND(D685+E685-F685-G685-H685,2)))</x:f>
      </x:c>
      <x:c r="J685" s="88" t="str">
        <x:f>IF(C685="","",F685+G685+H685)</x:f>
      </x:c>
      <x:c r="K685" s="88" t="str">
        <x:f>IF(C685="","",MAX(0,SUMIFS(SONDERZAHLUNGEN!$E$9:$E$128,SONDERZAHLUNGEN!$B$9:$B$128,C685,SONDERZAHLUNGEN!$C$9:$C$128,A685,SONDERZAHLUNGEN!$H$9:$H$128,"OK",SONDERZAHLUNGEN!$F$9:$F$128,"Ja")-G685))</x:f>
      </x:c>
    </x:row>
    <x:row r="686" ht="19" customHeight="1">
      <x:c r="A686" s="90" t="n">
        <x:f>MONATSBUDGET!$A$41</x:f>
        <x:v>47239</x:v>
      </x:c>
      <x:c r="B686" t="n">
        <x:f>7</x:f>
        <x:v>7</x:v>
      </x:c>
      <x:c r="C686" t="str">
        <x:f>IF($N$15="","",$N$15)</x:f>
      </x:c>
      <x:c r="D686" s="88" t="str">
        <x:f>IF(C686="","",I666)</x:f>
      </x:c>
      <x:c r="E686" s="88" t="str">
        <x:f>IF(C686="","",ROUND(D686*$P$15/12,2))</x:f>
      </x:c>
      <x:c r="F686" s="88" t="str">
        <x:f>IF(C686="","",MIN(D686+E686,$Q$15))</x:f>
      </x:c>
      <x:c r="G686" s="88" t="str">
        <x:f>IF(C686="","",MIN(MAX(0,D686+E686-F686),SUMIFS(SONDERZAHLUNGEN!$E$9:$E$128,SONDERZAHLUNGEN!$B$9:$B$128,C686,SONDERZAHLUNGEN!$C$9:$C$128,A686,SONDERZAHLUNGEN!$H$9:$H$128,"OK",SONDERZAHLUNGEN!$F$9:$F$128,"Ja")))</x:f>
      </x:c>
      <x:c r="H686" s="88" t="str">
        <x:f>IF(C686="","",MIN(MAX(0,D686+E686-F686-G686),MAX(0,IF(MONATSBUDGET!$C$41="",0,MONATSBUDGET!$C$41)-SUM(F680:F699)-SUM(H680:H685))))</x:f>
      </x:c>
      <x:c r="I686" s="88" t="str">
        <x:f>IF(C686="","",MAX(0,ROUND(D686+E686-F686-G686-H686,2)))</x:f>
      </x:c>
      <x:c r="J686" s="88" t="str">
        <x:f>IF(C686="","",F686+G686+H686)</x:f>
      </x:c>
      <x:c r="K686" s="88" t="str">
        <x:f>IF(C686="","",MAX(0,SUMIFS(SONDERZAHLUNGEN!$E$9:$E$128,SONDERZAHLUNGEN!$B$9:$B$128,C686,SONDERZAHLUNGEN!$C$9:$C$128,A686,SONDERZAHLUNGEN!$H$9:$H$128,"OK",SONDERZAHLUNGEN!$F$9:$F$128,"Ja")-G686))</x:f>
      </x:c>
    </x:row>
    <x:row r="687" ht="19" customHeight="1">
      <x:c r="A687" s="90" t="n">
        <x:f>MONATSBUDGET!$A$41</x:f>
        <x:v>47239</x:v>
      </x:c>
      <x:c r="B687" t="n">
        <x:f>8</x:f>
        <x:v>8</x:v>
      </x:c>
      <x:c r="C687" t="str">
        <x:f>IF($N$16="","",$N$16)</x:f>
      </x:c>
      <x:c r="D687" s="88" t="str">
        <x:f>IF(C687="","",I667)</x:f>
      </x:c>
      <x:c r="E687" s="88" t="str">
        <x:f>IF(C687="","",ROUND(D687*$P$16/12,2))</x:f>
      </x:c>
      <x:c r="F687" s="88" t="str">
        <x:f>IF(C687="","",MIN(D687+E687,$Q$16))</x:f>
      </x:c>
      <x:c r="G687" s="88" t="str">
        <x:f>IF(C687="","",MIN(MAX(0,D687+E687-F687),SUMIFS(SONDERZAHLUNGEN!$E$9:$E$128,SONDERZAHLUNGEN!$B$9:$B$128,C687,SONDERZAHLUNGEN!$C$9:$C$128,A687,SONDERZAHLUNGEN!$H$9:$H$128,"OK",SONDERZAHLUNGEN!$F$9:$F$128,"Ja")))</x:f>
      </x:c>
      <x:c r="H687" s="88" t="str">
        <x:f>IF(C687="","",MIN(MAX(0,D687+E687-F687-G687),MAX(0,IF(MONATSBUDGET!$C$41="",0,MONATSBUDGET!$C$41)-SUM(F680:F699)-SUM(H680:H686))))</x:f>
      </x:c>
      <x:c r="I687" s="88" t="str">
        <x:f>IF(C687="","",MAX(0,ROUND(D687+E687-F687-G687-H687,2)))</x:f>
      </x:c>
      <x:c r="J687" s="88" t="str">
        <x:f>IF(C687="","",F687+G687+H687)</x:f>
      </x:c>
      <x:c r="K687" s="88" t="str">
        <x:f>IF(C687="","",MAX(0,SUMIFS(SONDERZAHLUNGEN!$E$9:$E$128,SONDERZAHLUNGEN!$B$9:$B$128,C687,SONDERZAHLUNGEN!$C$9:$C$128,A687,SONDERZAHLUNGEN!$H$9:$H$128,"OK",SONDERZAHLUNGEN!$F$9:$F$128,"Ja")-G687))</x:f>
      </x:c>
    </x:row>
    <x:row r="688" ht="19" customHeight="1">
      <x:c r="A688" s="90" t="n">
        <x:f>MONATSBUDGET!$A$41</x:f>
        <x:v>47239</x:v>
      </x:c>
      <x:c r="B688" t="n">
        <x:f>9</x:f>
        <x:v>9</x:v>
      </x:c>
      <x:c r="C688" t="str">
        <x:f>IF($N$17="","",$N$17)</x:f>
      </x:c>
      <x:c r="D688" s="88" t="str">
        <x:f>IF(C688="","",I668)</x:f>
      </x:c>
      <x:c r="E688" s="88" t="str">
        <x:f>IF(C688="","",ROUND(D688*$P$17/12,2))</x:f>
      </x:c>
      <x:c r="F688" s="88" t="str">
        <x:f>IF(C688="","",MIN(D688+E688,$Q$17))</x:f>
      </x:c>
      <x:c r="G688" s="88" t="str">
        <x:f>IF(C688="","",MIN(MAX(0,D688+E688-F688),SUMIFS(SONDERZAHLUNGEN!$E$9:$E$128,SONDERZAHLUNGEN!$B$9:$B$128,C688,SONDERZAHLUNGEN!$C$9:$C$128,A688,SONDERZAHLUNGEN!$H$9:$H$128,"OK",SONDERZAHLUNGEN!$F$9:$F$128,"Ja")))</x:f>
      </x:c>
      <x:c r="H688" s="88" t="str">
        <x:f>IF(C688="","",MIN(MAX(0,D688+E688-F688-G688),MAX(0,IF(MONATSBUDGET!$C$41="",0,MONATSBUDGET!$C$41)-SUM(F680:F699)-SUM(H680:H687))))</x:f>
      </x:c>
      <x:c r="I688" s="88" t="str">
        <x:f>IF(C688="","",MAX(0,ROUND(D688+E688-F688-G688-H688,2)))</x:f>
      </x:c>
      <x:c r="J688" s="88" t="str">
        <x:f>IF(C688="","",F688+G688+H688)</x:f>
      </x:c>
      <x:c r="K688" s="88" t="str">
        <x:f>IF(C688="","",MAX(0,SUMIFS(SONDERZAHLUNGEN!$E$9:$E$128,SONDERZAHLUNGEN!$B$9:$B$128,C688,SONDERZAHLUNGEN!$C$9:$C$128,A688,SONDERZAHLUNGEN!$H$9:$H$128,"OK",SONDERZAHLUNGEN!$F$9:$F$128,"Ja")-G688))</x:f>
      </x:c>
    </x:row>
    <x:row r="689" ht="19" customHeight="1">
      <x:c r="A689" s="90" t="n">
        <x:f>MONATSBUDGET!$A$41</x:f>
        <x:v>47239</x:v>
      </x:c>
      <x:c r="B689" t="n">
        <x:f>10</x:f>
        <x:v>10</x:v>
      </x:c>
      <x:c r="C689" t="str">
        <x:f>IF($N$18="","",$N$18)</x:f>
      </x:c>
      <x:c r="D689" s="88" t="str">
        <x:f>IF(C689="","",I669)</x:f>
      </x:c>
      <x:c r="E689" s="88" t="str">
        <x:f>IF(C689="","",ROUND(D689*$P$18/12,2))</x:f>
      </x:c>
      <x:c r="F689" s="88" t="str">
        <x:f>IF(C689="","",MIN(D689+E689,$Q$18))</x:f>
      </x:c>
      <x:c r="G689" s="88" t="str">
        <x:f>IF(C689="","",MIN(MAX(0,D689+E689-F689),SUMIFS(SONDERZAHLUNGEN!$E$9:$E$128,SONDERZAHLUNGEN!$B$9:$B$128,C689,SONDERZAHLUNGEN!$C$9:$C$128,A689,SONDERZAHLUNGEN!$H$9:$H$128,"OK",SONDERZAHLUNGEN!$F$9:$F$128,"Ja")))</x:f>
      </x:c>
      <x:c r="H689" s="88" t="str">
        <x:f>IF(C689="","",MIN(MAX(0,D689+E689-F689-G689),MAX(0,IF(MONATSBUDGET!$C$41="",0,MONATSBUDGET!$C$41)-SUM(F680:F699)-SUM(H680:H688))))</x:f>
      </x:c>
      <x:c r="I689" s="88" t="str">
        <x:f>IF(C689="","",MAX(0,ROUND(D689+E689-F689-G689-H689,2)))</x:f>
      </x:c>
      <x:c r="J689" s="88" t="str">
        <x:f>IF(C689="","",F689+G689+H689)</x:f>
      </x:c>
      <x:c r="K689" s="88" t="str">
        <x:f>IF(C689="","",MAX(0,SUMIFS(SONDERZAHLUNGEN!$E$9:$E$128,SONDERZAHLUNGEN!$B$9:$B$128,C689,SONDERZAHLUNGEN!$C$9:$C$128,A689,SONDERZAHLUNGEN!$H$9:$H$128,"OK",SONDERZAHLUNGEN!$F$9:$F$128,"Ja")-G689))</x:f>
      </x:c>
    </x:row>
    <x:row r="690" ht="19" customHeight="1">
      <x:c r="A690" s="90" t="n">
        <x:f>MONATSBUDGET!$A$41</x:f>
        <x:v>47239</x:v>
      </x:c>
      <x:c r="B690" t="n">
        <x:f>11</x:f>
        <x:v>11</x:v>
      </x:c>
      <x:c r="C690" t="str">
        <x:f>IF($N$19="","",$N$19)</x:f>
      </x:c>
      <x:c r="D690" s="88" t="str">
        <x:f>IF(C690="","",I670)</x:f>
      </x:c>
      <x:c r="E690" s="88" t="str">
        <x:f>IF(C690="","",ROUND(D690*$P$19/12,2))</x:f>
      </x:c>
      <x:c r="F690" s="88" t="str">
        <x:f>IF(C690="","",MIN(D690+E690,$Q$19))</x:f>
      </x:c>
      <x:c r="G690" s="88" t="str">
        <x:f>IF(C690="","",MIN(MAX(0,D690+E690-F690),SUMIFS(SONDERZAHLUNGEN!$E$9:$E$128,SONDERZAHLUNGEN!$B$9:$B$128,C690,SONDERZAHLUNGEN!$C$9:$C$128,A690,SONDERZAHLUNGEN!$H$9:$H$128,"OK",SONDERZAHLUNGEN!$F$9:$F$128,"Ja")))</x:f>
      </x:c>
      <x:c r="H690" s="88" t="str">
        <x:f>IF(C690="","",MIN(MAX(0,D690+E690-F690-G690),MAX(0,IF(MONATSBUDGET!$C$41="",0,MONATSBUDGET!$C$41)-SUM(F680:F699)-SUM(H680:H689))))</x:f>
      </x:c>
      <x:c r="I690" s="88" t="str">
        <x:f>IF(C690="","",MAX(0,ROUND(D690+E690-F690-G690-H690,2)))</x:f>
      </x:c>
      <x:c r="J690" s="88" t="str">
        <x:f>IF(C690="","",F690+G690+H690)</x:f>
      </x:c>
      <x:c r="K690" s="88" t="str">
        <x:f>IF(C690="","",MAX(0,SUMIFS(SONDERZAHLUNGEN!$E$9:$E$128,SONDERZAHLUNGEN!$B$9:$B$128,C690,SONDERZAHLUNGEN!$C$9:$C$128,A690,SONDERZAHLUNGEN!$H$9:$H$128,"OK",SONDERZAHLUNGEN!$F$9:$F$128,"Ja")-G690))</x:f>
      </x:c>
    </x:row>
    <x:row r="691" ht="19" customHeight="1">
      <x:c r="A691" s="90" t="n">
        <x:f>MONATSBUDGET!$A$41</x:f>
        <x:v>47239</x:v>
      </x:c>
      <x:c r="B691" t="n">
        <x:f>12</x:f>
        <x:v>12</x:v>
      </x:c>
      <x:c r="C691" t="str">
        <x:f>IF($N$20="","",$N$20)</x:f>
      </x:c>
      <x:c r="D691" s="88" t="str">
        <x:f>IF(C691="","",I671)</x:f>
      </x:c>
      <x:c r="E691" s="88" t="str">
        <x:f>IF(C691="","",ROUND(D691*$P$20/12,2))</x:f>
      </x:c>
      <x:c r="F691" s="88" t="str">
        <x:f>IF(C691="","",MIN(D691+E691,$Q$20))</x:f>
      </x:c>
      <x:c r="G691" s="88" t="str">
        <x:f>IF(C691="","",MIN(MAX(0,D691+E691-F691),SUMIFS(SONDERZAHLUNGEN!$E$9:$E$128,SONDERZAHLUNGEN!$B$9:$B$128,C691,SONDERZAHLUNGEN!$C$9:$C$128,A691,SONDERZAHLUNGEN!$H$9:$H$128,"OK",SONDERZAHLUNGEN!$F$9:$F$128,"Ja")))</x:f>
      </x:c>
      <x:c r="H691" s="88" t="str">
        <x:f>IF(C691="","",MIN(MAX(0,D691+E691-F691-G691),MAX(0,IF(MONATSBUDGET!$C$41="",0,MONATSBUDGET!$C$41)-SUM(F680:F699)-SUM(H680:H690))))</x:f>
      </x:c>
      <x:c r="I691" s="88" t="str">
        <x:f>IF(C691="","",MAX(0,ROUND(D691+E691-F691-G691-H691,2)))</x:f>
      </x:c>
      <x:c r="J691" s="88" t="str">
        <x:f>IF(C691="","",F691+G691+H691)</x:f>
      </x:c>
      <x:c r="K691" s="88" t="str">
        <x:f>IF(C691="","",MAX(0,SUMIFS(SONDERZAHLUNGEN!$E$9:$E$128,SONDERZAHLUNGEN!$B$9:$B$128,C691,SONDERZAHLUNGEN!$C$9:$C$128,A691,SONDERZAHLUNGEN!$H$9:$H$128,"OK",SONDERZAHLUNGEN!$F$9:$F$128,"Ja")-G691))</x:f>
      </x:c>
    </x:row>
    <x:row r="692" ht="19" customHeight="1">
      <x:c r="A692" s="90" t="n">
        <x:f>MONATSBUDGET!$A$41</x:f>
        <x:v>47239</x:v>
      </x:c>
      <x:c r="B692" t="n">
        <x:f>13</x:f>
        <x:v>13</x:v>
      </x:c>
      <x:c r="C692" t="str">
        <x:f>IF($N$21="","",$N$21)</x:f>
      </x:c>
      <x:c r="D692" s="88" t="str">
        <x:f>IF(C692="","",I672)</x:f>
      </x:c>
      <x:c r="E692" s="88" t="str">
        <x:f>IF(C692="","",ROUND(D692*$P$21/12,2))</x:f>
      </x:c>
      <x:c r="F692" s="88" t="str">
        <x:f>IF(C692="","",MIN(D692+E692,$Q$21))</x:f>
      </x:c>
      <x:c r="G692" s="88" t="str">
        <x:f>IF(C692="","",MIN(MAX(0,D692+E692-F692),SUMIFS(SONDERZAHLUNGEN!$E$9:$E$128,SONDERZAHLUNGEN!$B$9:$B$128,C692,SONDERZAHLUNGEN!$C$9:$C$128,A692,SONDERZAHLUNGEN!$H$9:$H$128,"OK",SONDERZAHLUNGEN!$F$9:$F$128,"Ja")))</x:f>
      </x:c>
      <x:c r="H692" s="88" t="str">
        <x:f>IF(C692="","",MIN(MAX(0,D692+E692-F692-G692),MAX(0,IF(MONATSBUDGET!$C$41="",0,MONATSBUDGET!$C$41)-SUM(F680:F699)-SUM(H680:H691))))</x:f>
      </x:c>
      <x:c r="I692" s="88" t="str">
        <x:f>IF(C692="","",MAX(0,ROUND(D692+E692-F692-G692-H692,2)))</x:f>
      </x:c>
      <x:c r="J692" s="88" t="str">
        <x:f>IF(C692="","",F692+G692+H692)</x:f>
      </x:c>
      <x:c r="K692" s="88" t="str">
        <x:f>IF(C692="","",MAX(0,SUMIFS(SONDERZAHLUNGEN!$E$9:$E$128,SONDERZAHLUNGEN!$B$9:$B$128,C692,SONDERZAHLUNGEN!$C$9:$C$128,A692,SONDERZAHLUNGEN!$H$9:$H$128,"OK",SONDERZAHLUNGEN!$F$9:$F$128,"Ja")-G692))</x:f>
      </x:c>
    </x:row>
    <x:row r="693" ht="19" customHeight="1">
      <x:c r="A693" s="90" t="n">
        <x:f>MONATSBUDGET!$A$41</x:f>
        <x:v>47239</x:v>
      </x:c>
      <x:c r="B693" t="n">
        <x:f>14</x:f>
        <x:v>14</x:v>
      </x:c>
      <x:c r="C693" t="str">
        <x:f>IF($N$22="","",$N$22)</x:f>
      </x:c>
      <x:c r="D693" s="88" t="str">
        <x:f>IF(C693="","",I673)</x:f>
      </x:c>
      <x:c r="E693" s="88" t="str">
        <x:f>IF(C693="","",ROUND(D693*$P$22/12,2))</x:f>
      </x:c>
      <x:c r="F693" s="88" t="str">
        <x:f>IF(C693="","",MIN(D693+E693,$Q$22))</x:f>
      </x:c>
      <x:c r="G693" s="88" t="str">
        <x:f>IF(C693="","",MIN(MAX(0,D693+E693-F693),SUMIFS(SONDERZAHLUNGEN!$E$9:$E$128,SONDERZAHLUNGEN!$B$9:$B$128,C693,SONDERZAHLUNGEN!$C$9:$C$128,A693,SONDERZAHLUNGEN!$H$9:$H$128,"OK",SONDERZAHLUNGEN!$F$9:$F$128,"Ja")))</x:f>
      </x:c>
      <x:c r="H693" s="88" t="str">
        <x:f>IF(C693="","",MIN(MAX(0,D693+E693-F693-G693),MAX(0,IF(MONATSBUDGET!$C$41="",0,MONATSBUDGET!$C$41)-SUM(F680:F699)-SUM(H680:H692))))</x:f>
      </x:c>
      <x:c r="I693" s="88" t="str">
        <x:f>IF(C693="","",MAX(0,ROUND(D693+E693-F693-G693-H693,2)))</x:f>
      </x:c>
      <x:c r="J693" s="88" t="str">
        <x:f>IF(C693="","",F693+G693+H693)</x:f>
      </x:c>
      <x:c r="K693" s="88" t="str">
        <x:f>IF(C693="","",MAX(0,SUMIFS(SONDERZAHLUNGEN!$E$9:$E$128,SONDERZAHLUNGEN!$B$9:$B$128,C693,SONDERZAHLUNGEN!$C$9:$C$128,A693,SONDERZAHLUNGEN!$H$9:$H$128,"OK",SONDERZAHLUNGEN!$F$9:$F$128,"Ja")-G693))</x:f>
      </x:c>
    </x:row>
    <x:row r="694" ht="19" customHeight="1">
      <x:c r="A694" s="90" t="n">
        <x:f>MONATSBUDGET!$A$41</x:f>
        <x:v>47239</x:v>
      </x:c>
      <x:c r="B694" t="n">
        <x:f>15</x:f>
        <x:v>15</x:v>
      </x:c>
      <x:c r="C694" t="str">
        <x:f>IF($N$23="","",$N$23)</x:f>
      </x:c>
      <x:c r="D694" s="88" t="str">
        <x:f>IF(C694="","",I674)</x:f>
      </x:c>
      <x:c r="E694" s="88" t="str">
        <x:f>IF(C694="","",ROUND(D694*$P$23/12,2))</x:f>
      </x:c>
      <x:c r="F694" s="88" t="str">
        <x:f>IF(C694="","",MIN(D694+E694,$Q$23))</x:f>
      </x:c>
      <x:c r="G694" s="88" t="str">
        <x:f>IF(C694="","",MIN(MAX(0,D694+E694-F694),SUMIFS(SONDERZAHLUNGEN!$E$9:$E$128,SONDERZAHLUNGEN!$B$9:$B$128,C694,SONDERZAHLUNGEN!$C$9:$C$128,A694,SONDERZAHLUNGEN!$H$9:$H$128,"OK",SONDERZAHLUNGEN!$F$9:$F$128,"Ja")))</x:f>
      </x:c>
      <x:c r="H694" s="88" t="str">
        <x:f>IF(C694="","",MIN(MAX(0,D694+E694-F694-G694),MAX(0,IF(MONATSBUDGET!$C$41="",0,MONATSBUDGET!$C$41)-SUM(F680:F699)-SUM(H680:H693))))</x:f>
      </x:c>
      <x:c r="I694" s="88" t="str">
        <x:f>IF(C694="","",MAX(0,ROUND(D694+E694-F694-G694-H694,2)))</x:f>
      </x:c>
      <x:c r="J694" s="88" t="str">
        <x:f>IF(C694="","",F694+G694+H694)</x:f>
      </x:c>
      <x:c r="K694" s="88" t="str">
        <x:f>IF(C694="","",MAX(0,SUMIFS(SONDERZAHLUNGEN!$E$9:$E$128,SONDERZAHLUNGEN!$B$9:$B$128,C694,SONDERZAHLUNGEN!$C$9:$C$128,A694,SONDERZAHLUNGEN!$H$9:$H$128,"OK",SONDERZAHLUNGEN!$F$9:$F$128,"Ja")-G694))</x:f>
      </x:c>
    </x:row>
    <x:row r="695" ht="19" customHeight="1">
      <x:c r="A695" s="90" t="n">
        <x:f>MONATSBUDGET!$A$41</x:f>
        <x:v>47239</x:v>
      </x:c>
      <x:c r="B695" t="n">
        <x:f>16</x:f>
        <x:v>16</x:v>
      </x:c>
      <x:c r="C695" t="str">
        <x:f>IF($N$24="","",$N$24)</x:f>
      </x:c>
      <x:c r="D695" s="88" t="str">
        <x:f>IF(C695="","",I675)</x:f>
      </x:c>
      <x:c r="E695" s="88" t="str">
        <x:f>IF(C695="","",ROUND(D695*$P$24/12,2))</x:f>
      </x:c>
      <x:c r="F695" s="88" t="str">
        <x:f>IF(C695="","",MIN(D695+E695,$Q$24))</x:f>
      </x:c>
      <x:c r="G695" s="88" t="str">
        <x:f>IF(C695="","",MIN(MAX(0,D695+E695-F695),SUMIFS(SONDERZAHLUNGEN!$E$9:$E$128,SONDERZAHLUNGEN!$B$9:$B$128,C695,SONDERZAHLUNGEN!$C$9:$C$128,A695,SONDERZAHLUNGEN!$H$9:$H$128,"OK",SONDERZAHLUNGEN!$F$9:$F$128,"Ja")))</x:f>
      </x:c>
      <x:c r="H695" s="88" t="str">
        <x:f>IF(C695="","",MIN(MAX(0,D695+E695-F695-G695),MAX(0,IF(MONATSBUDGET!$C$41="",0,MONATSBUDGET!$C$41)-SUM(F680:F699)-SUM(H680:H694))))</x:f>
      </x:c>
      <x:c r="I695" s="88" t="str">
        <x:f>IF(C695="","",MAX(0,ROUND(D695+E695-F695-G695-H695,2)))</x:f>
      </x:c>
      <x:c r="J695" s="88" t="str">
        <x:f>IF(C695="","",F695+G695+H695)</x:f>
      </x:c>
      <x:c r="K695" s="88" t="str">
        <x:f>IF(C695="","",MAX(0,SUMIFS(SONDERZAHLUNGEN!$E$9:$E$128,SONDERZAHLUNGEN!$B$9:$B$128,C695,SONDERZAHLUNGEN!$C$9:$C$128,A695,SONDERZAHLUNGEN!$H$9:$H$128,"OK",SONDERZAHLUNGEN!$F$9:$F$128,"Ja")-G695))</x:f>
      </x:c>
    </x:row>
    <x:row r="696" ht="19" customHeight="1">
      <x:c r="A696" s="90" t="n">
        <x:f>MONATSBUDGET!$A$41</x:f>
        <x:v>47239</x:v>
      </x:c>
      <x:c r="B696" t="n">
        <x:f>17</x:f>
        <x:v>17</x:v>
      </x:c>
      <x:c r="C696" t="str">
        <x:f>IF($N$25="","",$N$25)</x:f>
      </x:c>
      <x:c r="D696" s="88" t="str">
        <x:f>IF(C696="","",I676)</x:f>
      </x:c>
      <x:c r="E696" s="88" t="str">
        <x:f>IF(C696="","",ROUND(D696*$P$25/12,2))</x:f>
      </x:c>
      <x:c r="F696" s="88" t="str">
        <x:f>IF(C696="","",MIN(D696+E696,$Q$25))</x:f>
      </x:c>
      <x:c r="G696" s="88" t="str">
        <x:f>IF(C696="","",MIN(MAX(0,D696+E696-F696),SUMIFS(SONDERZAHLUNGEN!$E$9:$E$128,SONDERZAHLUNGEN!$B$9:$B$128,C696,SONDERZAHLUNGEN!$C$9:$C$128,A696,SONDERZAHLUNGEN!$H$9:$H$128,"OK",SONDERZAHLUNGEN!$F$9:$F$128,"Ja")))</x:f>
      </x:c>
      <x:c r="H696" s="88" t="str">
        <x:f>IF(C696="","",MIN(MAX(0,D696+E696-F696-G696),MAX(0,IF(MONATSBUDGET!$C$41="",0,MONATSBUDGET!$C$41)-SUM(F680:F699)-SUM(H680:H695))))</x:f>
      </x:c>
      <x:c r="I696" s="88" t="str">
        <x:f>IF(C696="","",MAX(0,ROUND(D696+E696-F696-G696-H696,2)))</x:f>
      </x:c>
      <x:c r="J696" s="88" t="str">
        <x:f>IF(C696="","",F696+G696+H696)</x:f>
      </x:c>
      <x:c r="K696" s="88" t="str">
        <x:f>IF(C696="","",MAX(0,SUMIFS(SONDERZAHLUNGEN!$E$9:$E$128,SONDERZAHLUNGEN!$B$9:$B$128,C696,SONDERZAHLUNGEN!$C$9:$C$128,A696,SONDERZAHLUNGEN!$H$9:$H$128,"OK",SONDERZAHLUNGEN!$F$9:$F$128,"Ja")-G696))</x:f>
      </x:c>
    </x:row>
    <x:row r="697" ht="19" customHeight="1">
      <x:c r="A697" s="90" t="n">
        <x:f>MONATSBUDGET!$A$41</x:f>
        <x:v>47239</x:v>
      </x:c>
      <x:c r="B697" t="n">
        <x:f>18</x:f>
        <x:v>18</x:v>
      </x:c>
      <x:c r="C697" t="str">
        <x:f>IF($N$26="","",$N$26)</x:f>
      </x:c>
      <x:c r="D697" s="88" t="str">
        <x:f>IF(C697="","",I677)</x:f>
      </x:c>
      <x:c r="E697" s="88" t="str">
        <x:f>IF(C697="","",ROUND(D697*$P$26/12,2))</x:f>
      </x:c>
      <x:c r="F697" s="88" t="str">
        <x:f>IF(C697="","",MIN(D697+E697,$Q$26))</x:f>
      </x:c>
      <x:c r="G697" s="88" t="str">
        <x:f>IF(C697="","",MIN(MAX(0,D697+E697-F697),SUMIFS(SONDERZAHLUNGEN!$E$9:$E$128,SONDERZAHLUNGEN!$B$9:$B$128,C697,SONDERZAHLUNGEN!$C$9:$C$128,A697,SONDERZAHLUNGEN!$H$9:$H$128,"OK",SONDERZAHLUNGEN!$F$9:$F$128,"Ja")))</x:f>
      </x:c>
      <x:c r="H697" s="88" t="str">
        <x:f>IF(C697="","",MIN(MAX(0,D697+E697-F697-G697),MAX(0,IF(MONATSBUDGET!$C$41="",0,MONATSBUDGET!$C$41)-SUM(F680:F699)-SUM(H680:H696))))</x:f>
      </x:c>
      <x:c r="I697" s="88" t="str">
        <x:f>IF(C697="","",MAX(0,ROUND(D697+E697-F697-G697-H697,2)))</x:f>
      </x:c>
      <x:c r="J697" s="88" t="str">
        <x:f>IF(C697="","",F697+G697+H697)</x:f>
      </x:c>
      <x:c r="K697" s="88" t="str">
        <x:f>IF(C697="","",MAX(0,SUMIFS(SONDERZAHLUNGEN!$E$9:$E$128,SONDERZAHLUNGEN!$B$9:$B$128,C697,SONDERZAHLUNGEN!$C$9:$C$128,A697,SONDERZAHLUNGEN!$H$9:$H$128,"OK",SONDERZAHLUNGEN!$F$9:$F$128,"Ja")-G697))</x:f>
      </x:c>
    </x:row>
    <x:row r="698" ht="19" customHeight="1">
      <x:c r="A698" s="90" t="n">
        <x:f>MONATSBUDGET!$A$41</x:f>
        <x:v>47239</x:v>
      </x:c>
      <x:c r="B698" t="n">
        <x:f>19</x:f>
        <x:v>19</x:v>
      </x:c>
      <x:c r="C698" t="str">
        <x:f>IF($N$27="","",$N$27)</x:f>
      </x:c>
      <x:c r="D698" s="88" t="str">
        <x:f>IF(C698="","",I678)</x:f>
      </x:c>
      <x:c r="E698" s="88" t="str">
        <x:f>IF(C698="","",ROUND(D698*$P$27/12,2))</x:f>
      </x:c>
      <x:c r="F698" s="88" t="str">
        <x:f>IF(C698="","",MIN(D698+E698,$Q$27))</x:f>
      </x:c>
      <x:c r="G698" s="88" t="str">
        <x:f>IF(C698="","",MIN(MAX(0,D698+E698-F698),SUMIFS(SONDERZAHLUNGEN!$E$9:$E$128,SONDERZAHLUNGEN!$B$9:$B$128,C698,SONDERZAHLUNGEN!$C$9:$C$128,A698,SONDERZAHLUNGEN!$H$9:$H$128,"OK",SONDERZAHLUNGEN!$F$9:$F$128,"Ja")))</x:f>
      </x:c>
      <x:c r="H698" s="88" t="str">
        <x:f>IF(C698="","",MIN(MAX(0,D698+E698-F698-G698),MAX(0,IF(MONATSBUDGET!$C$41="",0,MONATSBUDGET!$C$41)-SUM(F680:F699)-SUM(H680:H697))))</x:f>
      </x:c>
      <x:c r="I698" s="88" t="str">
        <x:f>IF(C698="","",MAX(0,ROUND(D698+E698-F698-G698-H698,2)))</x:f>
      </x:c>
      <x:c r="J698" s="88" t="str">
        <x:f>IF(C698="","",F698+G698+H698)</x:f>
      </x:c>
      <x:c r="K698" s="88" t="str">
        <x:f>IF(C698="","",MAX(0,SUMIFS(SONDERZAHLUNGEN!$E$9:$E$128,SONDERZAHLUNGEN!$B$9:$B$128,C698,SONDERZAHLUNGEN!$C$9:$C$128,A698,SONDERZAHLUNGEN!$H$9:$H$128,"OK",SONDERZAHLUNGEN!$F$9:$F$128,"Ja")-G698))</x:f>
      </x:c>
    </x:row>
    <x:row r="699" ht="19" customHeight="1">
      <x:c r="A699" s="90" t="n">
        <x:f>MONATSBUDGET!$A$41</x:f>
        <x:v>47239</x:v>
      </x:c>
      <x:c r="B699" t="n">
        <x:f>20</x:f>
        <x:v>20</x:v>
      </x:c>
      <x:c r="C699" t="str">
        <x:f>IF($N$28="","",$N$28)</x:f>
      </x:c>
      <x:c r="D699" s="88" t="str">
        <x:f>IF(C699="","",I679)</x:f>
      </x:c>
      <x:c r="E699" s="88" t="str">
        <x:f>IF(C699="","",ROUND(D699*$P$28/12,2))</x:f>
      </x:c>
      <x:c r="F699" s="88" t="str">
        <x:f>IF(C699="","",MIN(D699+E699,$Q$28))</x:f>
      </x:c>
      <x:c r="G699" s="88" t="str">
        <x:f>IF(C699="","",MIN(MAX(0,D699+E699-F699),SUMIFS(SONDERZAHLUNGEN!$E$9:$E$128,SONDERZAHLUNGEN!$B$9:$B$128,C699,SONDERZAHLUNGEN!$C$9:$C$128,A699,SONDERZAHLUNGEN!$H$9:$H$128,"OK",SONDERZAHLUNGEN!$F$9:$F$128,"Ja")))</x:f>
      </x:c>
      <x:c r="H699" s="88" t="str">
        <x:f>IF(C699="","",MIN(MAX(0,D699+E699-F699-G699),MAX(0,IF(MONATSBUDGET!$C$41="",0,MONATSBUDGET!$C$41)-SUM(F680:F699)-SUM(H680:H698))))</x:f>
      </x:c>
      <x:c r="I699" s="88" t="str">
        <x:f>IF(C699="","",MAX(0,ROUND(D699+E699-F699-G699-H699,2)))</x:f>
      </x:c>
      <x:c r="J699" s="88" t="str">
        <x:f>IF(C699="","",F699+G699+H699)</x:f>
      </x:c>
      <x:c r="K699" s="88" t="str">
        <x:f>IF(C699="","",MAX(0,SUMIFS(SONDERZAHLUNGEN!$E$9:$E$128,SONDERZAHLUNGEN!$B$9:$B$128,C699,SONDERZAHLUNGEN!$C$9:$C$128,A699,SONDERZAHLUNGEN!$H$9:$H$128,"OK",SONDERZAHLUNGEN!$F$9:$F$128,"Ja")-G699))</x:f>
      </x:c>
    </x:row>
    <x:row r="700" ht="19" customHeight="1">
      <x:c r="A700" s="90" t="n">
        <x:f>MONATSBUDGET!$A$42</x:f>
        <x:v>47270</x:v>
      </x:c>
      <x:c r="B700" t="n">
        <x:f>1</x:f>
        <x:v>1</x:v>
      </x:c>
      <x:c r="C700" t="str">
        <x:f>IF($N$9="","",$N$9)</x:f>
      </x:c>
      <x:c r="D700" s="88" t="str">
        <x:f>IF(C700="","",I680)</x:f>
      </x:c>
      <x:c r="E700" s="88" t="str">
        <x:f>IF(C700="","",ROUND(D700*$P$9/12,2))</x:f>
      </x:c>
      <x:c r="F700" s="88" t="str">
        <x:f>IF(C700="","",MIN(D700+E700,$Q$9))</x:f>
      </x:c>
      <x:c r="G700" s="88" t="str">
        <x:f>IF(C700="","",MIN(MAX(0,D700+E700-F700),SUMIFS(SONDERZAHLUNGEN!$E$9:$E$128,SONDERZAHLUNGEN!$B$9:$B$128,C700,SONDERZAHLUNGEN!$C$9:$C$128,A700,SONDERZAHLUNGEN!$H$9:$H$128,"OK",SONDERZAHLUNGEN!$F$9:$F$128,"Ja")))</x:f>
      </x:c>
      <x:c r="H700" s="88" t="str">
        <x:f>IF(C700="","",MIN(MAX(0,D700+E700-F700-G700),MAX(0,IF(MONATSBUDGET!$C$42="",0,MONATSBUDGET!$C$42)-SUM(F700:F719)-0)))</x:f>
      </x:c>
      <x:c r="I700" s="88" t="str">
        <x:f>IF(C700="","",MAX(0,ROUND(D700+E700-F700-G700-H700,2)))</x:f>
      </x:c>
      <x:c r="J700" s="88" t="str">
        <x:f>IF(C700="","",F700+G700+H700)</x:f>
      </x:c>
      <x:c r="K700" s="88" t="str">
        <x:f>IF(C700="","",MAX(0,SUMIFS(SONDERZAHLUNGEN!$E$9:$E$128,SONDERZAHLUNGEN!$B$9:$B$128,C700,SONDERZAHLUNGEN!$C$9:$C$128,A700,SONDERZAHLUNGEN!$H$9:$H$128,"OK",SONDERZAHLUNGEN!$F$9:$F$128,"Ja")-G700))</x:f>
      </x:c>
    </x:row>
    <x:row r="701" ht="19" customHeight="1">
      <x:c r="A701" s="90" t="n">
        <x:f>MONATSBUDGET!$A$42</x:f>
        <x:v>47270</x:v>
      </x:c>
      <x:c r="B701" t="n">
        <x:f>2</x:f>
        <x:v>2</x:v>
      </x:c>
      <x:c r="C701" t="str">
        <x:f>IF($N$10="","",$N$10)</x:f>
      </x:c>
      <x:c r="D701" s="88" t="str">
        <x:f>IF(C701="","",I681)</x:f>
      </x:c>
      <x:c r="E701" s="88" t="str">
        <x:f>IF(C701="","",ROUND(D701*$P$10/12,2))</x:f>
      </x:c>
      <x:c r="F701" s="88" t="str">
        <x:f>IF(C701="","",MIN(D701+E701,$Q$10))</x:f>
      </x:c>
      <x:c r="G701" s="88" t="str">
        <x:f>IF(C701="","",MIN(MAX(0,D701+E701-F701),SUMIFS(SONDERZAHLUNGEN!$E$9:$E$128,SONDERZAHLUNGEN!$B$9:$B$128,C701,SONDERZAHLUNGEN!$C$9:$C$128,A701,SONDERZAHLUNGEN!$H$9:$H$128,"OK",SONDERZAHLUNGEN!$F$9:$F$128,"Ja")))</x:f>
      </x:c>
      <x:c r="H701" s="88" t="str">
        <x:f>IF(C701="","",MIN(MAX(0,D701+E701-F701-G701),MAX(0,IF(MONATSBUDGET!$C$42="",0,MONATSBUDGET!$C$42)-SUM(F700:F719)-SUM(H700:H700))))</x:f>
      </x:c>
      <x:c r="I701" s="88" t="str">
        <x:f>IF(C701="","",MAX(0,ROUND(D701+E701-F701-G701-H701,2)))</x:f>
      </x:c>
      <x:c r="J701" s="88" t="str">
        <x:f>IF(C701="","",F701+G701+H701)</x:f>
      </x:c>
      <x:c r="K701" s="88" t="str">
        <x:f>IF(C701="","",MAX(0,SUMIFS(SONDERZAHLUNGEN!$E$9:$E$128,SONDERZAHLUNGEN!$B$9:$B$128,C701,SONDERZAHLUNGEN!$C$9:$C$128,A701,SONDERZAHLUNGEN!$H$9:$H$128,"OK",SONDERZAHLUNGEN!$F$9:$F$128,"Ja")-G701))</x:f>
      </x:c>
    </x:row>
    <x:row r="702" ht="19" customHeight="1">
      <x:c r="A702" s="90" t="n">
        <x:f>MONATSBUDGET!$A$42</x:f>
        <x:v>47270</x:v>
      </x:c>
      <x:c r="B702" t="n">
        <x:f>3</x:f>
        <x:v>3</x:v>
      </x:c>
      <x:c r="C702" t="str">
        <x:f>IF($N$11="","",$N$11)</x:f>
      </x:c>
      <x:c r="D702" s="88" t="str">
        <x:f>IF(C702="","",I682)</x:f>
      </x:c>
      <x:c r="E702" s="88" t="str">
        <x:f>IF(C702="","",ROUND(D702*$P$11/12,2))</x:f>
      </x:c>
      <x:c r="F702" s="88" t="str">
        <x:f>IF(C702="","",MIN(D702+E702,$Q$11))</x:f>
      </x:c>
      <x:c r="G702" s="88" t="str">
        <x:f>IF(C702="","",MIN(MAX(0,D702+E702-F702),SUMIFS(SONDERZAHLUNGEN!$E$9:$E$128,SONDERZAHLUNGEN!$B$9:$B$128,C702,SONDERZAHLUNGEN!$C$9:$C$128,A702,SONDERZAHLUNGEN!$H$9:$H$128,"OK",SONDERZAHLUNGEN!$F$9:$F$128,"Ja")))</x:f>
      </x:c>
      <x:c r="H702" s="88" t="str">
        <x:f>IF(C702="","",MIN(MAX(0,D702+E702-F702-G702),MAX(0,IF(MONATSBUDGET!$C$42="",0,MONATSBUDGET!$C$42)-SUM(F700:F719)-SUM(H700:H701))))</x:f>
      </x:c>
      <x:c r="I702" s="88" t="str">
        <x:f>IF(C702="","",MAX(0,ROUND(D702+E702-F702-G702-H702,2)))</x:f>
      </x:c>
      <x:c r="J702" s="88" t="str">
        <x:f>IF(C702="","",F702+G702+H702)</x:f>
      </x:c>
      <x:c r="K702" s="88" t="str">
        <x:f>IF(C702="","",MAX(0,SUMIFS(SONDERZAHLUNGEN!$E$9:$E$128,SONDERZAHLUNGEN!$B$9:$B$128,C702,SONDERZAHLUNGEN!$C$9:$C$128,A702,SONDERZAHLUNGEN!$H$9:$H$128,"OK",SONDERZAHLUNGEN!$F$9:$F$128,"Ja")-G702))</x:f>
      </x:c>
    </x:row>
    <x:row r="703" ht="19" customHeight="1">
      <x:c r="A703" s="90" t="n">
        <x:f>MONATSBUDGET!$A$42</x:f>
        <x:v>47270</x:v>
      </x:c>
      <x:c r="B703" t="n">
        <x:f>4</x:f>
        <x:v>4</x:v>
      </x:c>
      <x:c r="C703" t="str">
        <x:f>IF($N$12="","",$N$12)</x:f>
      </x:c>
      <x:c r="D703" s="88" t="str">
        <x:f>IF(C703="","",I683)</x:f>
      </x:c>
      <x:c r="E703" s="88" t="str">
        <x:f>IF(C703="","",ROUND(D703*$P$12/12,2))</x:f>
      </x:c>
      <x:c r="F703" s="88" t="str">
        <x:f>IF(C703="","",MIN(D703+E703,$Q$12))</x:f>
      </x:c>
      <x:c r="G703" s="88" t="str">
        <x:f>IF(C703="","",MIN(MAX(0,D703+E703-F703),SUMIFS(SONDERZAHLUNGEN!$E$9:$E$128,SONDERZAHLUNGEN!$B$9:$B$128,C703,SONDERZAHLUNGEN!$C$9:$C$128,A703,SONDERZAHLUNGEN!$H$9:$H$128,"OK",SONDERZAHLUNGEN!$F$9:$F$128,"Ja")))</x:f>
      </x:c>
      <x:c r="H703" s="88" t="str">
        <x:f>IF(C703="","",MIN(MAX(0,D703+E703-F703-G703),MAX(0,IF(MONATSBUDGET!$C$42="",0,MONATSBUDGET!$C$42)-SUM(F700:F719)-SUM(H700:H702))))</x:f>
      </x:c>
      <x:c r="I703" s="88" t="str">
        <x:f>IF(C703="","",MAX(0,ROUND(D703+E703-F703-G703-H703,2)))</x:f>
      </x:c>
      <x:c r="J703" s="88" t="str">
        <x:f>IF(C703="","",F703+G703+H703)</x:f>
      </x:c>
      <x:c r="K703" s="88" t="str">
        <x:f>IF(C703="","",MAX(0,SUMIFS(SONDERZAHLUNGEN!$E$9:$E$128,SONDERZAHLUNGEN!$B$9:$B$128,C703,SONDERZAHLUNGEN!$C$9:$C$128,A703,SONDERZAHLUNGEN!$H$9:$H$128,"OK",SONDERZAHLUNGEN!$F$9:$F$128,"Ja")-G703))</x:f>
      </x:c>
    </x:row>
    <x:row r="704" ht="19" customHeight="1">
      <x:c r="A704" s="90" t="n">
        <x:f>MONATSBUDGET!$A$42</x:f>
        <x:v>47270</x:v>
      </x:c>
      <x:c r="B704" t="n">
        <x:f>5</x:f>
        <x:v>5</x:v>
      </x:c>
      <x:c r="C704" t="str">
        <x:f>IF($N$13="","",$N$13)</x:f>
      </x:c>
      <x:c r="D704" s="88" t="str">
        <x:f>IF(C704="","",I684)</x:f>
      </x:c>
      <x:c r="E704" s="88" t="str">
        <x:f>IF(C704="","",ROUND(D704*$P$13/12,2))</x:f>
      </x:c>
      <x:c r="F704" s="88" t="str">
        <x:f>IF(C704="","",MIN(D704+E704,$Q$13))</x:f>
      </x:c>
      <x:c r="G704" s="88" t="str">
        <x:f>IF(C704="","",MIN(MAX(0,D704+E704-F704),SUMIFS(SONDERZAHLUNGEN!$E$9:$E$128,SONDERZAHLUNGEN!$B$9:$B$128,C704,SONDERZAHLUNGEN!$C$9:$C$128,A704,SONDERZAHLUNGEN!$H$9:$H$128,"OK",SONDERZAHLUNGEN!$F$9:$F$128,"Ja")))</x:f>
      </x:c>
      <x:c r="H704" s="88" t="str">
        <x:f>IF(C704="","",MIN(MAX(0,D704+E704-F704-G704),MAX(0,IF(MONATSBUDGET!$C$42="",0,MONATSBUDGET!$C$42)-SUM(F700:F719)-SUM(H700:H703))))</x:f>
      </x:c>
      <x:c r="I704" s="88" t="str">
        <x:f>IF(C704="","",MAX(0,ROUND(D704+E704-F704-G704-H704,2)))</x:f>
      </x:c>
      <x:c r="J704" s="88" t="str">
        <x:f>IF(C704="","",F704+G704+H704)</x:f>
      </x:c>
      <x:c r="K704" s="88" t="str">
        <x:f>IF(C704="","",MAX(0,SUMIFS(SONDERZAHLUNGEN!$E$9:$E$128,SONDERZAHLUNGEN!$B$9:$B$128,C704,SONDERZAHLUNGEN!$C$9:$C$128,A704,SONDERZAHLUNGEN!$H$9:$H$128,"OK",SONDERZAHLUNGEN!$F$9:$F$128,"Ja")-G704))</x:f>
      </x:c>
    </x:row>
    <x:row r="705" ht="19" customHeight="1">
      <x:c r="A705" s="90" t="n">
        <x:f>MONATSBUDGET!$A$42</x:f>
        <x:v>47270</x:v>
      </x:c>
      <x:c r="B705" t="n">
        <x:f>6</x:f>
        <x:v>6</x:v>
      </x:c>
      <x:c r="C705" t="str">
        <x:f>IF($N$14="","",$N$14)</x:f>
      </x:c>
      <x:c r="D705" s="88" t="str">
        <x:f>IF(C705="","",I685)</x:f>
      </x:c>
      <x:c r="E705" s="88" t="str">
        <x:f>IF(C705="","",ROUND(D705*$P$14/12,2))</x:f>
      </x:c>
      <x:c r="F705" s="88" t="str">
        <x:f>IF(C705="","",MIN(D705+E705,$Q$14))</x:f>
      </x:c>
      <x:c r="G705" s="88" t="str">
        <x:f>IF(C705="","",MIN(MAX(0,D705+E705-F705),SUMIFS(SONDERZAHLUNGEN!$E$9:$E$128,SONDERZAHLUNGEN!$B$9:$B$128,C705,SONDERZAHLUNGEN!$C$9:$C$128,A705,SONDERZAHLUNGEN!$H$9:$H$128,"OK",SONDERZAHLUNGEN!$F$9:$F$128,"Ja")))</x:f>
      </x:c>
      <x:c r="H705" s="88" t="str">
        <x:f>IF(C705="","",MIN(MAX(0,D705+E705-F705-G705),MAX(0,IF(MONATSBUDGET!$C$42="",0,MONATSBUDGET!$C$42)-SUM(F700:F719)-SUM(H700:H704))))</x:f>
      </x:c>
      <x:c r="I705" s="88" t="str">
        <x:f>IF(C705="","",MAX(0,ROUND(D705+E705-F705-G705-H705,2)))</x:f>
      </x:c>
      <x:c r="J705" s="88" t="str">
        <x:f>IF(C705="","",F705+G705+H705)</x:f>
      </x:c>
      <x:c r="K705" s="88" t="str">
        <x:f>IF(C705="","",MAX(0,SUMIFS(SONDERZAHLUNGEN!$E$9:$E$128,SONDERZAHLUNGEN!$B$9:$B$128,C705,SONDERZAHLUNGEN!$C$9:$C$128,A705,SONDERZAHLUNGEN!$H$9:$H$128,"OK",SONDERZAHLUNGEN!$F$9:$F$128,"Ja")-G705))</x:f>
      </x:c>
    </x:row>
    <x:row r="706" ht="19" customHeight="1">
      <x:c r="A706" s="90" t="n">
        <x:f>MONATSBUDGET!$A$42</x:f>
        <x:v>47270</x:v>
      </x:c>
      <x:c r="B706" t="n">
        <x:f>7</x:f>
        <x:v>7</x:v>
      </x:c>
      <x:c r="C706" t="str">
        <x:f>IF($N$15="","",$N$15)</x:f>
      </x:c>
      <x:c r="D706" s="88" t="str">
        <x:f>IF(C706="","",I686)</x:f>
      </x:c>
      <x:c r="E706" s="88" t="str">
        <x:f>IF(C706="","",ROUND(D706*$P$15/12,2))</x:f>
      </x:c>
      <x:c r="F706" s="88" t="str">
        <x:f>IF(C706="","",MIN(D706+E706,$Q$15))</x:f>
      </x:c>
      <x:c r="G706" s="88" t="str">
        <x:f>IF(C706="","",MIN(MAX(0,D706+E706-F706),SUMIFS(SONDERZAHLUNGEN!$E$9:$E$128,SONDERZAHLUNGEN!$B$9:$B$128,C706,SONDERZAHLUNGEN!$C$9:$C$128,A706,SONDERZAHLUNGEN!$H$9:$H$128,"OK",SONDERZAHLUNGEN!$F$9:$F$128,"Ja")))</x:f>
      </x:c>
      <x:c r="H706" s="88" t="str">
        <x:f>IF(C706="","",MIN(MAX(0,D706+E706-F706-G706),MAX(0,IF(MONATSBUDGET!$C$42="",0,MONATSBUDGET!$C$42)-SUM(F700:F719)-SUM(H700:H705))))</x:f>
      </x:c>
      <x:c r="I706" s="88" t="str">
        <x:f>IF(C706="","",MAX(0,ROUND(D706+E706-F706-G706-H706,2)))</x:f>
      </x:c>
      <x:c r="J706" s="88" t="str">
        <x:f>IF(C706="","",F706+G706+H706)</x:f>
      </x:c>
      <x:c r="K706" s="88" t="str">
        <x:f>IF(C706="","",MAX(0,SUMIFS(SONDERZAHLUNGEN!$E$9:$E$128,SONDERZAHLUNGEN!$B$9:$B$128,C706,SONDERZAHLUNGEN!$C$9:$C$128,A706,SONDERZAHLUNGEN!$H$9:$H$128,"OK",SONDERZAHLUNGEN!$F$9:$F$128,"Ja")-G706))</x:f>
      </x:c>
    </x:row>
    <x:row r="707" ht="19" customHeight="1">
      <x:c r="A707" s="90" t="n">
        <x:f>MONATSBUDGET!$A$42</x:f>
        <x:v>47270</x:v>
      </x:c>
      <x:c r="B707" t="n">
        <x:f>8</x:f>
        <x:v>8</x:v>
      </x:c>
      <x:c r="C707" t="str">
        <x:f>IF($N$16="","",$N$16)</x:f>
      </x:c>
      <x:c r="D707" s="88" t="str">
        <x:f>IF(C707="","",I687)</x:f>
      </x:c>
      <x:c r="E707" s="88" t="str">
        <x:f>IF(C707="","",ROUND(D707*$P$16/12,2))</x:f>
      </x:c>
      <x:c r="F707" s="88" t="str">
        <x:f>IF(C707="","",MIN(D707+E707,$Q$16))</x:f>
      </x:c>
      <x:c r="G707" s="88" t="str">
        <x:f>IF(C707="","",MIN(MAX(0,D707+E707-F707),SUMIFS(SONDERZAHLUNGEN!$E$9:$E$128,SONDERZAHLUNGEN!$B$9:$B$128,C707,SONDERZAHLUNGEN!$C$9:$C$128,A707,SONDERZAHLUNGEN!$H$9:$H$128,"OK",SONDERZAHLUNGEN!$F$9:$F$128,"Ja")))</x:f>
      </x:c>
      <x:c r="H707" s="88" t="str">
        <x:f>IF(C707="","",MIN(MAX(0,D707+E707-F707-G707),MAX(0,IF(MONATSBUDGET!$C$42="",0,MONATSBUDGET!$C$42)-SUM(F700:F719)-SUM(H700:H706))))</x:f>
      </x:c>
      <x:c r="I707" s="88" t="str">
        <x:f>IF(C707="","",MAX(0,ROUND(D707+E707-F707-G707-H707,2)))</x:f>
      </x:c>
      <x:c r="J707" s="88" t="str">
        <x:f>IF(C707="","",F707+G707+H707)</x:f>
      </x:c>
      <x:c r="K707" s="88" t="str">
        <x:f>IF(C707="","",MAX(0,SUMIFS(SONDERZAHLUNGEN!$E$9:$E$128,SONDERZAHLUNGEN!$B$9:$B$128,C707,SONDERZAHLUNGEN!$C$9:$C$128,A707,SONDERZAHLUNGEN!$H$9:$H$128,"OK",SONDERZAHLUNGEN!$F$9:$F$128,"Ja")-G707))</x:f>
      </x:c>
    </x:row>
    <x:row r="708" ht="19" customHeight="1">
      <x:c r="A708" s="90" t="n">
        <x:f>MONATSBUDGET!$A$42</x:f>
        <x:v>47270</x:v>
      </x:c>
      <x:c r="B708" t="n">
        <x:f>9</x:f>
        <x:v>9</x:v>
      </x:c>
      <x:c r="C708" t="str">
        <x:f>IF($N$17="","",$N$17)</x:f>
      </x:c>
      <x:c r="D708" s="88" t="str">
        <x:f>IF(C708="","",I688)</x:f>
      </x:c>
      <x:c r="E708" s="88" t="str">
        <x:f>IF(C708="","",ROUND(D708*$P$17/12,2))</x:f>
      </x:c>
      <x:c r="F708" s="88" t="str">
        <x:f>IF(C708="","",MIN(D708+E708,$Q$17))</x:f>
      </x:c>
      <x:c r="G708" s="88" t="str">
        <x:f>IF(C708="","",MIN(MAX(0,D708+E708-F708),SUMIFS(SONDERZAHLUNGEN!$E$9:$E$128,SONDERZAHLUNGEN!$B$9:$B$128,C708,SONDERZAHLUNGEN!$C$9:$C$128,A708,SONDERZAHLUNGEN!$H$9:$H$128,"OK",SONDERZAHLUNGEN!$F$9:$F$128,"Ja")))</x:f>
      </x:c>
      <x:c r="H708" s="88" t="str">
        <x:f>IF(C708="","",MIN(MAX(0,D708+E708-F708-G708),MAX(0,IF(MONATSBUDGET!$C$42="",0,MONATSBUDGET!$C$42)-SUM(F700:F719)-SUM(H700:H707))))</x:f>
      </x:c>
      <x:c r="I708" s="88" t="str">
        <x:f>IF(C708="","",MAX(0,ROUND(D708+E708-F708-G708-H708,2)))</x:f>
      </x:c>
      <x:c r="J708" s="88" t="str">
        <x:f>IF(C708="","",F708+G708+H708)</x:f>
      </x:c>
      <x:c r="K708" s="88" t="str">
        <x:f>IF(C708="","",MAX(0,SUMIFS(SONDERZAHLUNGEN!$E$9:$E$128,SONDERZAHLUNGEN!$B$9:$B$128,C708,SONDERZAHLUNGEN!$C$9:$C$128,A708,SONDERZAHLUNGEN!$H$9:$H$128,"OK",SONDERZAHLUNGEN!$F$9:$F$128,"Ja")-G708))</x:f>
      </x:c>
    </x:row>
    <x:row r="709" ht="19" customHeight="1">
      <x:c r="A709" s="90" t="n">
        <x:f>MONATSBUDGET!$A$42</x:f>
        <x:v>47270</x:v>
      </x:c>
      <x:c r="B709" t="n">
        <x:f>10</x:f>
        <x:v>10</x:v>
      </x:c>
      <x:c r="C709" t="str">
        <x:f>IF($N$18="","",$N$18)</x:f>
      </x:c>
      <x:c r="D709" s="88" t="str">
        <x:f>IF(C709="","",I689)</x:f>
      </x:c>
      <x:c r="E709" s="88" t="str">
        <x:f>IF(C709="","",ROUND(D709*$P$18/12,2))</x:f>
      </x:c>
      <x:c r="F709" s="88" t="str">
        <x:f>IF(C709="","",MIN(D709+E709,$Q$18))</x:f>
      </x:c>
      <x:c r="G709" s="88" t="str">
        <x:f>IF(C709="","",MIN(MAX(0,D709+E709-F709),SUMIFS(SONDERZAHLUNGEN!$E$9:$E$128,SONDERZAHLUNGEN!$B$9:$B$128,C709,SONDERZAHLUNGEN!$C$9:$C$128,A709,SONDERZAHLUNGEN!$H$9:$H$128,"OK",SONDERZAHLUNGEN!$F$9:$F$128,"Ja")))</x:f>
      </x:c>
      <x:c r="H709" s="88" t="str">
        <x:f>IF(C709="","",MIN(MAX(0,D709+E709-F709-G709),MAX(0,IF(MONATSBUDGET!$C$42="",0,MONATSBUDGET!$C$42)-SUM(F700:F719)-SUM(H700:H708))))</x:f>
      </x:c>
      <x:c r="I709" s="88" t="str">
        <x:f>IF(C709="","",MAX(0,ROUND(D709+E709-F709-G709-H709,2)))</x:f>
      </x:c>
      <x:c r="J709" s="88" t="str">
        <x:f>IF(C709="","",F709+G709+H709)</x:f>
      </x:c>
      <x:c r="K709" s="88" t="str">
        <x:f>IF(C709="","",MAX(0,SUMIFS(SONDERZAHLUNGEN!$E$9:$E$128,SONDERZAHLUNGEN!$B$9:$B$128,C709,SONDERZAHLUNGEN!$C$9:$C$128,A709,SONDERZAHLUNGEN!$H$9:$H$128,"OK",SONDERZAHLUNGEN!$F$9:$F$128,"Ja")-G709))</x:f>
      </x:c>
    </x:row>
    <x:row r="710" ht="19" customHeight="1">
      <x:c r="A710" s="90" t="n">
        <x:f>MONATSBUDGET!$A$42</x:f>
        <x:v>47270</x:v>
      </x:c>
      <x:c r="B710" t="n">
        <x:f>11</x:f>
        <x:v>11</x:v>
      </x:c>
      <x:c r="C710" t="str">
        <x:f>IF($N$19="","",$N$19)</x:f>
      </x:c>
      <x:c r="D710" s="88" t="str">
        <x:f>IF(C710="","",I690)</x:f>
      </x:c>
      <x:c r="E710" s="88" t="str">
        <x:f>IF(C710="","",ROUND(D710*$P$19/12,2))</x:f>
      </x:c>
      <x:c r="F710" s="88" t="str">
        <x:f>IF(C710="","",MIN(D710+E710,$Q$19))</x:f>
      </x:c>
      <x:c r="G710" s="88" t="str">
        <x:f>IF(C710="","",MIN(MAX(0,D710+E710-F710),SUMIFS(SONDERZAHLUNGEN!$E$9:$E$128,SONDERZAHLUNGEN!$B$9:$B$128,C710,SONDERZAHLUNGEN!$C$9:$C$128,A710,SONDERZAHLUNGEN!$H$9:$H$128,"OK",SONDERZAHLUNGEN!$F$9:$F$128,"Ja")))</x:f>
      </x:c>
      <x:c r="H710" s="88" t="str">
        <x:f>IF(C710="","",MIN(MAX(0,D710+E710-F710-G710),MAX(0,IF(MONATSBUDGET!$C$42="",0,MONATSBUDGET!$C$42)-SUM(F700:F719)-SUM(H700:H709))))</x:f>
      </x:c>
      <x:c r="I710" s="88" t="str">
        <x:f>IF(C710="","",MAX(0,ROUND(D710+E710-F710-G710-H710,2)))</x:f>
      </x:c>
      <x:c r="J710" s="88" t="str">
        <x:f>IF(C710="","",F710+G710+H710)</x:f>
      </x:c>
      <x:c r="K710" s="88" t="str">
        <x:f>IF(C710="","",MAX(0,SUMIFS(SONDERZAHLUNGEN!$E$9:$E$128,SONDERZAHLUNGEN!$B$9:$B$128,C710,SONDERZAHLUNGEN!$C$9:$C$128,A710,SONDERZAHLUNGEN!$H$9:$H$128,"OK",SONDERZAHLUNGEN!$F$9:$F$128,"Ja")-G710))</x:f>
      </x:c>
    </x:row>
    <x:row r="711" ht="19" customHeight="1">
      <x:c r="A711" s="90" t="n">
        <x:f>MONATSBUDGET!$A$42</x:f>
        <x:v>47270</x:v>
      </x:c>
      <x:c r="B711" t="n">
        <x:f>12</x:f>
        <x:v>12</x:v>
      </x:c>
      <x:c r="C711" t="str">
        <x:f>IF($N$20="","",$N$20)</x:f>
      </x:c>
      <x:c r="D711" s="88" t="str">
        <x:f>IF(C711="","",I691)</x:f>
      </x:c>
      <x:c r="E711" s="88" t="str">
        <x:f>IF(C711="","",ROUND(D711*$P$20/12,2))</x:f>
      </x:c>
      <x:c r="F711" s="88" t="str">
        <x:f>IF(C711="","",MIN(D711+E711,$Q$20))</x:f>
      </x:c>
      <x:c r="G711" s="88" t="str">
        <x:f>IF(C711="","",MIN(MAX(0,D711+E711-F711),SUMIFS(SONDERZAHLUNGEN!$E$9:$E$128,SONDERZAHLUNGEN!$B$9:$B$128,C711,SONDERZAHLUNGEN!$C$9:$C$128,A711,SONDERZAHLUNGEN!$H$9:$H$128,"OK",SONDERZAHLUNGEN!$F$9:$F$128,"Ja")))</x:f>
      </x:c>
      <x:c r="H711" s="88" t="str">
        <x:f>IF(C711="","",MIN(MAX(0,D711+E711-F711-G711),MAX(0,IF(MONATSBUDGET!$C$42="",0,MONATSBUDGET!$C$42)-SUM(F700:F719)-SUM(H700:H710))))</x:f>
      </x:c>
      <x:c r="I711" s="88" t="str">
        <x:f>IF(C711="","",MAX(0,ROUND(D711+E711-F711-G711-H711,2)))</x:f>
      </x:c>
      <x:c r="J711" s="88" t="str">
        <x:f>IF(C711="","",F711+G711+H711)</x:f>
      </x:c>
      <x:c r="K711" s="88" t="str">
        <x:f>IF(C711="","",MAX(0,SUMIFS(SONDERZAHLUNGEN!$E$9:$E$128,SONDERZAHLUNGEN!$B$9:$B$128,C711,SONDERZAHLUNGEN!$C$9:$C$128,A711,SONDERZAHLUNGEN!$H$9:$H$128,"OK",SONDERZAHLUNGEN!$F$9:$F$128,"Ja")-G711))</x:f>
      </x:c>
    </x:row>
    <x:row r="712" ht="19" customHeight="1">
      <x:c r="A712" s="90" t="n">
        <x:f>MONATSBUDGET!$A$42</x:f>
        <x:v>47270</x:v>
      </x:c>
      <x:c r="B712" t="n">
        <x:f>13</x:f>
        <x:v>13</x:v>
      </x:c>
      <x:c r="C712" t="str">
        <x:f>IF($N$21="","",$N$21)</x:f>
      </x:c>
      <x:c r="D712" s="88" t="str">
        <x:f>IF(C712="","",I692)</x:f>
      </x:c>
      <x:c r="E712" s="88" t="str">
        <x:f>IF(C712="","",ROUND(D712*$P$21/12,2))</x:f>
      </x:c>
      <x:c r="F712" s="88" t="str">
        <x:f>IF(C712="","",MIN(D712+E712,$Q$21))</x:f>
      </x:c>
      <x:c r="G712" s="88" t="str">
        <x:f>IF(C712="","",MIN(MAX(0,D712+E712-F712),SUMIFS(SONDERZAHLUNGEN!$E$9:$E$128,SONDERZAHLUNGEN!$B$9:$B$128,C712,SONDERZAHLUNGEN!$C$9:$C$128,A712,SONDERZAHLUNGEN!$H$9:$H$128,"OK",SONDERZAHLUNGEN!$F$9:$F$128,"Ja")))</x:f>
      </x:c>
      <x:c r="H712" s="88" t="str">
        <x:f>IF(C712="","",MIN(MAX(0,D712+E712-F712-G712),MAX(0,IF(MONATSBUDGET!$C$42="",0,MONATSBUDGET!$C$42)-SUM(F700:F719)-SUM(H700:H711))))</x:f>
      </x:c>
      <x:c r="I712" s="88" t="str">
        <x:f>IF(C712="","",MAX(0,ROUND(D712+E712-F712-G712-H712,2)))</x:f>
      </x:c>
      <x:c r="J712" s="88" t="str">
        <x:f>IF(C712="","",F712+G712+H712)</x:f>
      </x:c>
      <x:c r="K712" s="88" t="str">
        <x:f>IF(C712="","",MAX(0,SUMIFS(SONDERZAHLUNGEN!$E$9:$E$128,SONDERZAHLUNGEN!$B$9:$B$128,C712,SONDERZAHLUNGEN!$C$9:$C$128,A712,SONDERZAHLUNGEN!$H$9:$H$128,"OK",SONDERZAHLUNGEN!$F$9:$F$128,"Ja")-G712))</x:f>
      </x:c>
    </x:row>
    <x:row r="713" ht="19" customHeight="1">
      <x:c r="A713" s="90" t="n">
        <x:f>MONATSBUDGET!$A$42</x:f>
        <x:v>47270</x:v>
      </x:c>
      <x:c r="B713" t="n">
        <x:f>14</x:f>
        <x:v>14</x:v>
      </x:c>
      <x:c r="C713" t="str">
        <x:f>IF($N$22="","",$N$22)</x:f>
      </x:c>
      <x:c r="D713" s="88" t="str">
        <x:f>IF(C713="","",I693)</x:f>
      </x:c>
      <x:c r="E713" s="88" t="str">
        <x:f>IF(C713="","",ROUND(D713*$P$22/12,2))</x:f>
      </x:c>
      <x:c r="F713" s="88" t="str">
        <x:f>IF(C713="","",MIN(D713+E713,$Q$22))</x:f>
      </x:c>
      <x:c r="G713" s="88" t="str">
        <x:f>IF(C713="","",MIN(MAX(0,D713+E713-F713),SUMIFS(SONDERZAHLUNGEN!$E$9:$E$128,SONDERZAHLUNGEN!$B$9:$B$128,C713,SONDERZAHLUNGEN!$C$9:$C$128,A713,SONDERZAHLUNGEN!$H$9:$H$128,"OK",SONDERZAHLUNGEN!$F$9:$F$128,"Ja")))</x:f>
      </x:c>
      <x:c r="H713" s="88" t="str">
        <x:f>IF(C713="","",MIN(MAX(0,D713+E713-F713-G713),MAX(0,IF(MONATSBUDGET!$C$42="",0,MONATSBUDGET!$C$42)-SUM(F700:F719)-SUM(H700:H712))))</x:f>
      </x:c>
      <x:c r="I713" s="88" t="str">
        <x:f>IF(C713="","",MAX(0,ROUND(D713+E713-F713-G713-H713,2)))</x:f>
      </x:c>
      <x:c r="J713" s="88" t="str">
        <x:f>IF(C713="","",F713+G713+H713)</x:f>
      </x:c>
      <x:c r="K713" s="88" t="str">
        <x:f>IF(C713="","",MAX(0,SUMIFS(SONDERZAHLUNGEN!$E$9:$E$128,SONDERZAHLUNGEN!$B$9:$B$128,C713,SONDERZAHLUNGEN!$C$9:$C$128,A713,SONDERZAHLUNGEN!$H$9:$H$128,"OK",SONDERZAHLUNGEN!$F$9:$F$128,"Ja")-G713))</x:f>
      </x:c>
    </x:row>
    <x:row r="714" ht="19" customHeight="1">
      <x:c r="A714" s="90" t="n">
        <x:f>MONATSBUDGET!$A$42</x:f>
        <x:v>47270</x:v>
      </x:c>
      <x:c r="B714" t="n">
        <x:f>15</x:f>
        <x:v>15</x:v>
      </x:c>
      <x:c r="C714" t="str">
        <x:f>IF($N$23="","",$N$23)</x:f>
      </x:c>
      <x:c r="D714" s="88" t="str">
        <x:f>IF(C714="","",I694)</x:f>
      </x:c>
      <x:c r="E714" s="88" t="str">
        <x:f>IF(C714="","",ROUND(D714*$P$23/12,2))</x:f>
      </x:c>
      <x:c r="F714" s="88" t="str">
        <x:f>IF(C714="","",MIN(D714+E714,$Q$23))</x:f>
      </x:c>
      <x:c r="G714" s="88" t="str">
        <x:f>IF(C714="","",MIN(MAX(0,D714+E714-F714),SUMIFS(SONDERZAHLUNGEN!$E$9:$E$128,SONDERZAHLUNGEN!$B$9:$B$128,C714,SONDERZAHLUNGEN!$C$9:$C$128,A714,SONDERZAHLUNGEN!$H$9:$H$128,"OK",SONDERZAHLUNGEN!$F$9:$F$128,"Ja")))</x:f>
      </x:c>
      <x:c r="H714" s="88" t="str">
        <x:f>IF(C714="","",MIN(MAX(0,D714+E714-F714-G714),MAX(0,IF(MONATSBUDGET!$C$42="",0,MONATSBUDGET!$C$42)-SUM(F700:F719)-SUM(H700:H713))))</x:f>
      </x:c>
      <x:c r="I714" s="88" t="str">
        <x:f>IF(C714="","",MAX(0,ROUND(D714+E714-F714-G714-H714,2)))</x:f>
      </x:c>
      <x:c r="J714" s="88" t="str">
        <x:f>IF(C714="","",F714+G714+H714)</x:f>
      </x:c>
      <x:c r="K714" s="88" t="str">
        <x:f>IF(C714="","",MAX(0,SUMIFS(SONDERZAHLUNGEN!$E$9:$E$128,SONDERZAHLUNGEN!$B$9:$B$128,C714,SONDERZAHLUNGEN!$C$9:$C$128,A714,SONDERZAHLUNGEN!$H$9:$H$128,"OK",SONDERZAHLUNGEN!$F$9:$F$128,"Ja")-G714))</x:f>
      </x:c>
    </x:row>
    <x:row r="715" ht="19" customHeight="1">
      <x:c r="A715" s="90" t="n">
        <x:f>MONATSBUDGET!$A$42</x:f>
        <x:v>47270</x:v>
      </x:c>
      <x:c r="B715" t="n">
        <x:f>16</x:f>
        <x:v>16</x:v>
      </x:c>
      <x:c r="C715" t="str">
        <x:f>IF($N$24="","",$N$24)</x:f>
      </x:c>
      <x:c r="D715" s="88" t="str">
        <x:f>IF(C715="","",I695)</x:f>
      </x:c>
      <x:c r="E715" s="88" t="str">
        <x:f>IF(C715="","",ROUND(D715*$P$24/12,2))</x:f>
      </x:c>
      <x:c r="F715" s="88" t="str">
        <x:f>IF(C715="","",MIN(D715+E715,$Q$24))</x:f>
      </x:c>
      <x:c r="G715" s="88" t="str">
        <x:f>IF(C715="","",MIN(MAX(0,D715+E715-F715),SUMIFS(SONDERZAHLUNGEN!$E$9:$E$128,SONDERZAHLUNGEN!$B$9:$B$128,C715,SONDERZAHLUNGEN!$C$9:$C$128,A715,SONDERZAHLUNGEN!$H$9:$H$128,"OK",SONDERZAHLUNGEN!$F$9:$F$128,"Ja")))</x:f>
      </x:c>
      <x:c r="H715" s="88" t="str">
        <x:f>IF(C715="","",MIN(MAX(0,D715+E715-F715-G715),MAX(0,IF(MONATSBUDGET!$C$42="",0,MONATSBUDGET!$C$42)-SUM(F700:F719)-SUM(H700:H714))))</x:f>
      </x:c>
      <x:c r="I715" s="88" t="str">
        <x:f>IF(C715="","",MAX(0,ROUND(D715+E715-F715-G715-H715,2)))</x:f>
      </x:c>
      <x:c r="J715" s="88" t="str">
        <x:f>IF(C715="","",F715+G715+H715)</x:f>
      </x:c>
      <x:c r="K715" s="88" t="str">
        <x:f>IF(C715="","",MAX(0,SUMIFS(SONDERZAHLUNGEN!$E$9:$E$128,SONDERZAHLUNGEN!$B$9:$B$128,C715,SONDERZAHLUNGEN!$C$9:$C$128,A715,SONDERZAHLUNGEN!$H$9:$H$128,"OK",SONDERZAHLUNGEN!$F$9:$F$128,"Ja")-G715))</x:f>
      </x:c>
    </x:row>
    <x:row r="716" ht="19" customHeight="1">
      <x:c r="A716" s="90" t="n">
        <x:f>MONATSBUDGET!$A$42</x:f>
        <x:v>47270</x:v>
      </x:c>
      <x:c r="B716" t="n">
        <x:f>17</x:f>
        <x:v>17</x:v>
      </x:c>
      <x:c r="C716" t="str">
        <x:f>IF($N$25="","",$N$25)</x:f>
      </x:c>
      <x:c r="D716" s="88" t="str">
        <x:f>IF(C716="","",I696)</x:f>
      </x:c>
      <x:c r="E716" s="88" t="str">
        <x:f>IF(C716="","",ROUND(D716*$P$25/12,2))</x:f>
      </x:c>
      <x:c r="F716" s="88" t="str">
        <x:f>IF(C716="","",MIN(D716+E716,$Q$25))</x:f>
      </x:c>
      <x:c r="G716" s="88" t="str">
        <x:f>IF(C716="","",MIN(MAX(0,D716+E716-F716),SUMIFS(SONDERZAHLUNGEN!$E$9:$E$128,SONDERZAHLUNGEN!$B$9:$B$128,C716,SONDERZAHLUNGEN!$C$9:$C$128,A716,SONDERZAHLUNGEN!$H$9:$H$128,"OK",SONDERZAHLUNGEN!$F$9:$F$128,"Ja")))</x:f>
      </x:c>
      <x:c r="H716" s="88" t="str">
        <x:f>IF(C716="","",MIN(MAX(0,D716+E716-F716-G716),MAX(0,IF(MONATSBUDGET!$C$42="",0,MONATSBUDGET!$C$42)-SUM(F700:F719)-SUM(H700:H715))))</x:f>
      </x:c>
      <x:c r="I716" s="88" t="str">
        <x:f>IF(C716="","",MAX(0,ROUND(D716+E716-F716-G716-H716,2)))</x:f>
      </x:c>
      <x:c r="J716" s="88" t="str">
        <x:f>IF(C716="","",F716+G716+H716)</x:f>
      </x:c>
      <x:c r="K716" s="88" t="str">
        <x:f>IF(C716="","",MAX(0,SUMIFS(SONDERZAHLUNGEN!$E$9:$E$128,SONDERZAHLUNGEN!$B$9:$B$128,C716,SONDERZAHLUNGEN!$C$9:$C$128,A716,SONDERZAHLUNGEN!$H$9:$H$128,"OK",SONDERZAHLUNGEN!$F$9:$F$128,"Ja")-G716))</x:f>
      </x:c>
    </x:row>
    <x:row r="717" ht="19" customHeight="1">
      <x:c r="A717" s="90" t="n">
        <x:f>MONATSBUDGET!$A$42</x:f>
        <x:v>47270</x:v>
      </x:c>
      <x:c r="B717" t="n">
        <x:f>18</x:f>
        <x:v>18</x:v>
      </x:c>
      <x:c r="C717" t="str">
        <x:f>IF($N$26="","",$N$26)</x:f>
      </x:c>
      <x:c r="D717" s="88" t="str">
        <x:f>IF(C717="","",I697)</x:f>
      </x:c>
      <x:c r="E717" s="88" t="str">
        <x:f>IF(C717="","",ROUND(D717*$P$26/12,2))</x:f>
      </x:c>
      <x:c r="F717" s="88" t="str">
        <x:f>IF(C717="","",MIN(D717+E717,$Q$26))</x:f>
      </x:c>
      <x:c r="G717" s="88" t="str">
        <x:f>IF(C717="","",MIN(MAX(0,D717+E717-F717),SUMIFS(SONDERZAHLUNGEN!$E$9:$E$128,SONDERZAHLUNGEN!$B$9:$B$128,C717,SONDERZAHLUNGEN!$C$9:$C$128,A717,SONDERZAHLUNGEN!$H$9:$H$128,"OK",SONDERZAHLUNGEN!$F$9:$F$128,"Ja")))</x:f>
      </x:c>
      <x:c r="H717" s="88" t="str">
        <x:f>IF(C717="","",MIN(MAX(0,D717+E717-F717-G717),MAX(0,IF(MONATSBUDGET!$C$42="",0,MONATSBUDGET!$C$42)-SUM(F700:F719)-SUM(H700:H716))))</x:f>
      </x:c>
      <x:c r="I717" s="88" t="str">
        <x:f>IF(C717="","",MAX(0,ROUND(D717+E717-F717-G717-H717,2)))</x:f>
      </x:c>
      <x:c r="J717" s="88" t="str">
        <x:f>IF(C717="","",F717+G717+H717)</x:f>
      </x:c>
      <x:c r="K717" s="88" t="str">
        <x:f>IF(C717="","",MAX(0,SUMIFS(SONDERZAHLUNGEN!$E$9:$E$128,SONDERZAHLUNGEN!$B$9:$B$128,C717,SONDERZAHLUNGEN!$C$9:$C$128,A717,SONDERZAHLUNGEN!$H$9:$H$128,"OK",SONDERZAHLUNGEN!$F$9:$F$128,"Ja")-G717))</x:f>
      </x:c>
    </x:row>
    <x:row r="718" ht="19" customHeight="1">
      <x:c r="A718" s="90" t="n">
        <x:f>MONATSBUDGET!$A$42</x:f>
        <x:v>47270</x:v>
      </x:c>
      <x:c r="B718" t="n">
        <x:f>19</x:f>
        <x:v>19</x:v>
      </x:c>
      <x:c r="C718" t="str">
        <x:f>IF($N$27="","",$N$27)</x:f>
      </x:c>
      <x:c r="D718" s="88" t="str">
        <x:f>IF(C718="","",I698)</x:f>
      </x:c>
      <x:c r="E718" s="88" t="str">
        <x:f>IF(C718="","",ROUND(D718*$P$27/12,2))</x:f>
      </x:c>
      <x:c r="F718" s="88" t="str">
        <x:f>IF(C718="","",MIN(D718+E718,$Q$27))</x:f>
      </x:c>
      <x:c r="G718" s="88" t="str">
        <x:f>IF(C718="","",MIN(MAX(0,D718+E718-F718),SUMIFS(SONDERZAHLUNGEN!$E$9:$E$128,SONDERZAHLUNGEN!$B$9:$B$128,C718,SONDERZAHLUNGEN!$C$9:$C$128,A718,SONDERZAHLUNGEN!$H$9:$H$128,"OK",SONDERZAHLUNGEN!$F$9:$F$128,"Ja")))</x:f>
      </x:c>
      <x:c r="H718" s="88" t="str">
        <x:f>IF(C718="","",MIN(MAX(0,D718+E718-F718-G718),MAX(0,IF(MONATSBUDGET!$C$42="",0,MONATSBUDGET!$C$42)-SUM(F700:F719)-SUM(H700:H717))))</x:f>
      </x:c>
      <x:c r="I718" s="88" t="str">
        <x:f>IF(C718="","",MAX(0,ROUND(D718+E718-F718-G718-H718,2)))</x:f>
      </x:c>
      <x:c r="J718" s="88" t="str">
        <x:f>IF(C718="","",F718+G718+H718)</x:f>
      </x:c>
      <x:c r="K718" s="88" t="str">
        <x:f>IF(C718="","",MAX(0,SUMIFS(SONDERZAHLUNGEN!$E$9:$E$128,SONDERZAHLUNGEN!$B$9:$B$128,C718,SONDERZAHLUNGEN!$C$9:$C$128,A718,SONDERZAHLUNGEN!$H$9:$H$128,"OK",SONDERZAHLUNGEN!$F$9:$F$128,"Ja")-G718))</x:f>
      </x:c>
    </x:row>
    <x:row r="719" ht="19" customHeight="1">
      <x:c r="A719" s="90" t="n">
        <x:f>MONATSBUDGET!$A$42</x:f>
        <x:v>47270</x:v>
      </x:c>
      <x:c r="B719" t="n">
        <x:f>20</x:f>
        <x:v>20</x:v>
      </x:c>
      <x:c r="C719" t="str">
        <x:f>IF($N$28="","",$N$28)</x:f>
      </x:c>
      <x:c r="D719" s="88" t="str">
        <x:f>IF(C719="","",I699)</x:f>
      </x:c>
      <x:c r="E719" s="88" t="str">
        <x:f>IF(C719="","",ROUND(D719*$P$28/12,2))</x:f>
      </x:c>
      <x:c r="F719" s="88" t="str">
        <x:f>IF(C719="","",MIN(D719+E719,$Q$28))</x:f>
      </x:c>
      <x:c r="G719" s="88" t="str">
        <x:f>IF(C719="","",MIN(MAX(0,D719+E719-F719),SUMIFS(SONDERZAHLUNGEN!$E$9:$E$128,SONDERZAHLUNGEN!$B$9:$B$128,C719,SONDERZAHLUNGEN!$C$9:$C$128,A719,SONDERZAHLUNGEN!$H$9:$H$128,"OK",SONDERZAHLUNGEN!$F$9:$F$128,"Ja")))</x:f>
      </x:c>
      <x:c r="H719" s="88" t="str">
        <x:f>IF(C719="","",MIN(MAX(0,D719+E719-F719-G719),MAX(0,IF(MONATSBUDGET!$C$42="",0,MONATSBUDGET!$C$42)-SUM(F700:F719)-SUM(H700:H718))))</x:f>
      </x:c>
      <x:c r="I719" s="88" t="str">
        <x:f>IF(C719="","",MAX(0,ROUND(D719+E719-F719-G719-H719,2)))</x:f>
      </x:c>
      <x:c r="J719" s="88" t="str">
        <x:f>IF(C719="","",F719+G719+H719)</x:f>
      </x:c>
      <x:c r="K719" s="88" t="str">
        <x:f>IF(C719="","",MAX(0,SUMIFS(SONDERZAHLUNGEN!$E$9:$E$128,SONDERZAHLUNGEN!$B$9:$B$128,C719,SONDERZAHLUNGEN!$C$9:$C$128,A719,SONDERZAHLUNGEN!$H$9:$H$128,"OK",SONDERZAHLUNGEN!$F$9:$F$128,"Ja")-G719))</x:f>
      </x:c>
    </x:row>
    <x:row r="720" ht="19" customHeight="1">
      <x:c r="A720" s="90" t="n">
        <x:f>MONATSBUDGET!$A$43</x:f>
        <x:v>47300</x:v>
      </x:c>
      <x:c r="B720" t="n">
        <x:f>1</x:f>
        <x:v>1</x:v>
      </x:c>
      <x:c r="C720" t="str">
        <x:f>IF($N$9="","",$N$9)</x:f>
      </x:c>
      <x:c r="D720" s="88" t="str">
        <x:f>IF(C720="","",I700)</x:f>
      </x:c>
      <x:c r="E720" s="88" t="str">
        <x:f>IF(C720="","",ROUND(D720*$P$9/12,2))</x:f>
      </x:c>
      <x:c r="F720" s="88" t="str">
        <x:f>IF(C720="","",MIN(D720+E720,$Q$9))</x:f>
      </x:c>
      <x:c r="G720" s="88" t="str">
        <x:f>IF(C720="","",MIN(MAX(0,D720+E720-F720),SUMIFS(SONDERZAHLUNGEN!$E$9:$E$128,SONDERZAHLUNGEN!$B$9:$B$128,C720,SONDERZAHLUNGEN!$C$9:$C$128,A720,SONDERZAHLUNGEN!$H$9:$H$128,"OK",SONDERZAHLUNGEN!$F$9:$F$128,"Ja")))</x:f>
      </x:c>
      <x:c r="H720" s="88" t="str">
        <x:f>IF(C720="","",MIN(MAX(0,D720+E720-F720-G720),MAX(0,IF(MONATSBUDGET!$C$43="",0,MONATSBUDGET!$C$43)-SUM(F720:F739)-0)))</x:f>
      </x:c>
      <x:c r="I720" s="88" t="str">
        <x:f>IF(C720="","",MAX(0,ROUND(D720+E720-F720-G720-H720,2)))</x:f>
      </x:c>
      <x:c r="J720" s="88" t="str">
        <x:f>IF(C720="","",F720+G720+H720)</x:f>
      </x:c>
      <x:c r="K720" s="88" t="str">
        <x:f>IF(C720="","",MAX(0,SUMIFS(SONDERZAHLUNGEN!$E$9:$E$128,SONDERZAHLUNGEN!$B$9:$B$128,C720,SONDERZAHLUNGEN!$C$9:$C$128,A720,SONDERZAHLUNGEN!$H$9:$H$128,"OK",SONDERZAHLUNGEN!$F$9:$F$128,"Ja")-G720))</x:f>
      </x:c>
    </x:row>
    <x:row r="721" ht="19" customHeight="1">
      <x:c r="A721" s="90" t="n">
        <x:f>MONATSBUDGET!$A$43</x:f>
        <x:v>47300</x:v>
      </x:c>
      <x:c r="B721" t="n">
        <x:f>2</x:f>
        <x:v>2</x:v>
      </x:c>
      <x:c r="C721" t="str">
        <x:f>IF($N$10="","",$N$10)</x:f>
      </x:c>
      <x:c r="D721" s="88" t="str">
        <x:f>IF(C721="","",I701)</x:f>
      </x:c>
      <x:c r="E721" s="88" t="str">
        <x:f>IF(C721="","",ROUND(D721*$P$10/12,2))</x:f>
      </x:c>
      <x:c r="F721" s="88" t="str">
        <x:f>IF(C721="","",MIN(D721+E721,$Q$10))</x:f>
      </x:c>
      <x:c r="G721" s="88" t="str">
        <x:f>IF(C721="","",MIN(MAX(0,D721+E721-F721),SUMIFS(SONDERZAHLUNGEN!$E$9:$E$128,SONDERZAHLUNGEN!$B$9:$B$128,C721,SONDERZAHLUNGEN!$C$9:$C$128,A721,SONDERZAHLUNGEN!$H$9:$H$128,"OK",SONDERZAHLUNGEN!$F$9:$F$128,"Ja")))</x:f>
      </x:c>
      <x:c r="H721" s="88" t="str">
        <x:f>IF(C721="","",MIN(MAX(0,D721+E721-F721-G721),MAX(0,IF(MONATSBUDGET!$C$43="",0,MONATSBUDGET!$C$43)-SUM(F720:F739)-SUM(H720:H720))))</x:f>
      </x:c>
      <x:c r="I721" s="88" t="str">
        <x:f>IF(C721="","",MAX(0,ROUND(D721+E721-F721-G721-H721,2)))</x:f>
      </x:c>
      <x:c r="J721" s="88" t="str">
        <x:f>IF(C721="","",F721+G721+H721)</x:f>
      </x:c>
      <x:c r="K721" s="88" t="str">
        <x:f>IF(C721="","",MAX(0,SUMIFS(SONDERZAHLUNGEN!$E$9:$E$128,SONDERZAHLUNGEN!$B$9:$B$128,C721,SONDERZAHLUNGEN!$C$9:$C$128,A721,SONDERZAHLUNGEN!$H$9:$H$128,"OK",SONDERZAHLUNGEN!$F$9:$F$128,"Ja")-G721))</x:f>
      </x:c>
    </x:row>
    <x:row r="722" ht="19" customHeight="1">
      <x:c r="A722" s="90" t="n">
        <x:f>MONATSBUDGET!$A$43</x:f>
        <x:v>47300</x:v>
      </x:c>
      <x:c r="B722" t="n">
        <x:f>3</x:f>
        <x:v>3</x:v>
      </x:c>
      <x:c r="C722" t="str">
        <x:f>IF($N$11="","",$N$11)</x:f>
      </x:c>
      <x:c r="D722" s="88" t="str">
        <x:f>IF(C722="","",I702)</x:f>
      </x:c>
      <x:c r="E722" s="88" t="str">
        <x:f>IF(C722="","",ROUND(D722*$P$11/12,2))</x:f>
      </x:c>
      <x:c r="F722" s="88" t="str">
        <x:f>IF(C722="","",MIN(D722+E722,$Q$11))</x:f>
      </x:c>
      <x:c r="G722" s="88" t="str">
        <x:f>IF(C722="","",MIN(MAX(0,D722+E722-F722),SUMIFS(SONDERZAHLUNGEN!$E$9:$E$128,SONDERZAHLUNGEN!$B$9:$B$128,C722,SONDERZAHLUNGEN!$C$9:$C$128,A722,SONDERZAHLUNGEN!$H$9:$H$128,"OK",SONDERZAHLUNGEN!$F$9:$F$128,"Ja")))</x:f>
      </x:c>
      <x:c r="H722" s="88" t="str">
        <x:f>IF(C722="","",MIN(MAX(0,D722+E722-F722-G722),MAX(0,IF(MONATSBUDGET!$C$43="",0,MONATSBUDGET!$C$43)-SUM(F720:F739)-SUM(H720:H721))))</x:f>
      </x:c>
      <x:c r="I722" s="88" t="str">
        <x:f>IF(C722="","",MAX(0,ROUND(D722+E722-F722-G722-H722,2)))</x:f>
      </x:c>
      <x:c r="J722" s="88" t="str">
        <x:f>IF(C722="","",F722+G722+H722)</x:f>
      </x:c>
      <x:c r="K722" s="88" t="str">
        <x:f>IF(C722="","",MAX(0,SUMIFS(SONDERZAHLUNGEN!$E$9:$E$128,SONDERZAHLUNGEN!$B$9:$B$128,C722,SONDERZAHLUNGEN!$C$9:$C$128,A722,SONDERZAHLUNGEN!$H$9:$H$128,"OK",SONDERZAHLUNGEN!$F$9:$F$128,"Ja")-G722))</x:f>
      </x:c>
    </x:row>
    <x:row r="723" ht="19" customHeight="1">
      <x:c r="A723" s="90" t="n">
        <x:f>MONATSBUDGET!$A$43</x:f>
        <x:v>47300</x:v>
      </x:c>
      <x:c r="B723" t="n">
        <x:f>4</x:f>
        <x:v>4</x:v>
      </x:c>
      <x:c r="C723" t="str">
        <x:f>IF($N$12="","",$N$12)</x:f>
      </x:c>
      <x:c r="D723" s="88" t="str">
        <x:f>IF(C723="","",I703)</x:f>
      </x:c>
      <x:c r="E723" s="88" t="str">
        <x:f>IF(C723="","",ROUND(D723*$P$12/12,2))</x:f>
      </x:c>
      <x:c r="F723" s="88" t="str">
        <x:f>IF(C723="","",MIN(D723+E723,$Q$12))</x:f>
      </x:c>
      <x:c r="G723" s="88" t="str">
        <x:f>IF(C723="","",MIN(MAX(0,D723+E723-F723),SUMIFS(SONDERZAHLUNGEN!$E$9:$E$128,SONDERZAHLUNGEN!$B$9:$B$128,C723,SONDERZAHLUNGEN!$C$9:$C$128,A723,SONDERZAHLUNGEN!$H$9:$H$128,"OK",SONDERZAHLUNGEN!$F$9:$F$128,"Ja")))</x:f>
      </x:c>
      <x:c r="H723" s="88" t="str">
        <x:f>IF(C723="","",MIN(MAX(0,D723+E723-F723-G723),MAX(0,IF(MONATSBUDGET!$C$43="",0,MONATSBUDGET!$C$43)-SUM(F720:F739)-SUM(H720:H722))))</x:f>
      </x:c>
      <x:c r="I723" s="88" t="str">
        <x:f>IF(C723="","",MAX(0,ROUND(D723+E723-F723-G723-H723,2)))</x:f>
      </x:c>
      <x:c r="J723" s="88" t="str">
        <x:f>IF(C723="","",F723+G723+H723)</x:f>
      </x:c>
      <x:c r="K723" s="88" t="str">
        <x:f>IF(C723="","",MAX(0,SUMIFS(SONDERZAHLUNGEN!$E$9:$E$128,SONDERZAHLUNGEN!$B$9:$B$128,C723,SONDERZAHLUNGEN!$C$9:$C$128,A723,SONDERZAHLUNGEN!$H$9:$H$128,"OK",SONDERZAHLUNGEN!$F$9:$F$128,"Ja")-G723))</x:f>
      </x:c>
    </x:row>
    <x:row r="724" ht="19" customHeight="1">
      <x:c r="A724" s="90" t="n">
        <x:f>MONATSBUDGET!$A$43</x:f>
        <x:v>47300</x:v>
      </x:c>
      <x:c r="B724" t="n">
        <x:f>5</x:f>
        <x:v>5</x:v>
      </x:c>
      <x:c r="C724" t="str">
        <x:f>IF($N$13="","",$N$13)</x:f>
      </x:c>
      <x:c r="D724" s="88" t="str">
        <x:f>IF(C724="","",I704)</x:f>
      </x:c>
      <x:c r="E724" s="88" t="str">
        <x:f>IF(C724="","",ROUND(D724*$P$13/12,2))</x:f>
      </x:c>
      <x:c r="F724" s="88" t="str">
        <x:f>IF(C724="","",MIN(D724+E724,$Q$13))</x:f>
      </x:c>
      <x:c r="G724" s="88" t="str">
        <x:f>IF(C724="","",MIN(MAX(0,D724+E724-F724),SUMIFS(SONDERZAHLUNGEN!$E$9:$E$128,SONDERZAHLUNGEN!$B$9:$B$128,C724,SONDERZAHLUNGEN!$C$9:$C$128,A724,SONDERZAHLUNGEN!$H$9:$H$128,"OK",SONDERZAHLUNGEN!$F$9:$F$128,"Ja")))</x:f>
      </x:c>
      <x:c r="H724" s="88" t="str">
        <x:f>IF(C724="","",MIN(MAX(0,D724+E724-F724-G724),MAX(0,IF(MONATSBUDGET!$C$43="",0,MONATSBUDGET!$C$43)-SUM(F720:F739)-SUM(H720:H723))))</x:f>
      </x:c>
      <x:c r="I724" s="88" t="str">
        <x:f>IF(C724="","",MAX(0,ROUND(D724+E724-F724-G724-H724,2)))</x:f>
      </x:c>
      <x:c r="J724" s="88" t="str">
        <x:f>IF(C724="","",F724+G724+H724)</x:f>
      </x:c>
      <x:c r="K724" s="88" t="str">
        <x:f>IF(C724="","",MAX(0,SUMIFS(SONDERZAHLUNGEN!$E$9:$E$128,SONDERZAHLUNGEN!$B$9:$B$128,C724,SONDERZAHLUNGEN!$C$9:$C$128,A724,SONDERZAHLUNGEN!$H$9:$H$128,"OK",SONDERZAHLUNGEN!$F$9:$F$128,"Ja")-G724))</x:f>
      </x:c>
    </x:row>
    <x:row r="725" ht="19" customHeight="1">
      <x:c r="A725" s="90" t="n">
        <x:f>MONATSBUDGET!$A$43</x:f>
        <x:v>47300</x:v>
      </x:c>
      <x:c r="B725" t="n">
        <x:f>6</x:f>
        <x:v>6</x:v>
      </x:c>
      <x:c r="C725" t="str">
        <x:f>IF($N$14="","",$N$14)</x:f>
      </x:c>
      <x:c r="D725" s="88" t="str">
        <x:f>IF(C725="","",I705)</x:f>
      </x:c>
      <x:c r="E725" s="88" t="str">
        <x:f>IF(C725="","",ROUND(D725*$P$14/12,2))</x:f>
      </x:c>
      <x:c r="F725" s="88" t="str">
        <x:f>IF(C725="","",MIN(D725+E725,$Q$14))</x:f>
      </x:c>
      <x:c r="G725" s="88" t="str">
        <x:f>IF(C725="","",MIN(MAX(0,D725+E725-F725),SUMIFS(SONDERZAHLUNGEN!$E$9:$E$128,SONDERZAHLUNGEN!$B$9:$B$128,C725,SONDERZAHLUNGEN!$C$9:$C$128,A725,SONDERZAHLUNGEN!$H$9:$H$128,"OK",SONDERZAHLUNGEN!$F$9:$F$128,"Ja")))</x:f>
      </x:c>
      <x:c r="H725" s="88" t="str">
        <x:f>IF(C725="","",MIN(MAX(0,D725+E725-F725-G725),MAX(0,IF(MONATSBUDGET!$C$43="",0,MONATSBUDGET!$C$43)-SUM(F720:F739)-SUM(H720:H724))))</x:f>
      </x:c>
      <x:c r="I725" s="88" t="str">
        <x:f>IF(C725="","",MAX(0,ROUND(D725+E725-F725-G725-H725,2)))</x:f>
      </x:c>
      <x:c r="J725" s="88" t="str">
        <x:f>IF(C725="","",F725+G725+H725)</x:f>
      </x:c>
      <x:c r="K725" s="88" t="str">
        <x:f>IF(C725="","",MAX(0,SUMIFS(SONDERZAHLUNGEN!$E$9:$E$128,SONDERZAHLUNGEN!$B$9:$B$128,C725,SONDERZAHLUNGEN!$C$9:$C$128,A725,SONDERZAHLUNGEN!$H$9:$H$128,"OK",SONDERZAHLUNGEN!$F$9:$F$128,"Ja")-G725))</x:f>
      </x:c>
    </x:row>
    <x:row r="726" ht="19" customHeight="1">
      <x:c r="A726" s="90" t="n">
        <x:f>MONATSBUDGET!$A$43</x:f>
        <x:v>47300</x:v>
      </x:c>
      <x:c r="B726" t="n">
        <x:f>7</x:f>
        <x:v>7</x:v>
      </x:c>
      <x:c r="C726" t="str">
        <x:f>IF($N$15="","",$N$15)</x:f>
      </x:c>
      <x:c r="D726" s="88" t="str">
        <x:f>IF(C726="","",I706)</x:f>
      </x:c>
      <x:c r="E726" s="88" t="str">
        <x:f>IF(C726="","",ROUND(D726*$P$15/12,2))</x:f>
      </x:c>
      <x:c r="F726" s="88" t="str">
        <x:f>IF(C726="","",MIN(D726+E726,$Q$15))</x:f>
      </x:c>
      <x:c r="G726" s="88" t="str">
        <x:f>IF(C726="","",MIN(MAX(0,D726+E726-F726),SUMIFS(SONDERZAHLUNGEN!$E$9:$E$128,SONDERZAHLUNGEN!$B$9:$B$128,C726,SONDERZAHLUNGEN!$C$9:$C$128,A726,SONDERZAHLUNGEN!$H$9:$H$128,"OK",SONDERZAHLUNGEN!$F$9:$F$128,"Ja")))</x:f>
      </x:c>
      <x:c r="H726" s="88" t="str">
        <x:f>IF(C726="","",MIN(MAX(0,D726+E726-F726-G726),MAX(0,IF(MONATSBUDGET!$C$43="",0,MONATSBUDGET!$C$43)-SUM(F720:F739)-SUM(H720:H725))))</x:f>
      </x:c>
      <x:c r="I726" s="88" t="str">
        <x:f>IF(C726="","",MAX(0,ROUND(D726+E726-F726-G726-H726,2)))</x:f>
      </x:c>
      <x:c r="J726" s="88" t="str">
        <x:f>IF(C726="","",F726+G726+H726)</x:f>
      </x:c>
      <x:c r="K726" s="88" t="str">
        <x:f>IF(C726="","",MAX(0,SUMIFS(SONDERZAHLUNGEN!$E$9:$E$128,SONDERZAHLUNGEN!$B$9:$B$128,C726,SONDERZAHLUNGEN!$C$9:$C$128,A726,SONDERZAHLUNGEN!$H$9:$H$128,"OK",SONDERZAHLUNGEN!$F$9:$F$128,"Ja")-G726))</x:f>
      </x:c>
    </x:row>
    <x:row r="727" ht="19" customHeight="1">
      <x:c r="A727" s="90" t="n">
        <x:f>MONATSBUDGET!$A$43</x:f>
        <x:v>47300</x:v>
      </x:c>
      <x:c r="B727" t="n">
        <x:f>8</x:f>
        <x:v>8</x:v>
      </x:c>
      <x:c r="C727" t="str">
        <x:f>IF($N$16="","",$N$16)</x:f>
      </x:c>
      <x:c r="D727" s="88" t="str">
        <x:f>IF(C727="","",I707)</x:f>
      </x:c>
      <x:c r="E727" s="88" t="str">
        <x:f>IF(C727="","",ROUND(D727*$P$16/12,2))</x:f>
      </x:c>
      <x:c r="F727" s="88" t="str">
        <x:f>IF(C727="","",MIN(D727+E727,$Q$16))</x:f>
      </x:c>
      <x:c r="G727" s="88" t="str">
        <x:f>IF(C727="","",MIN(MAX(0,D727+E727-F727),SUMIFS(SONDERZAHLUNGEN!$E$9:$E$128,SONDERZAHLUNGEN!$B$9:$B$128,C727,SONDERZAHLUNGEN!$C$9:$C$128,A727,SONDERZAHLUNGEN!$H$9:$H$128,"OK",SONDERZAHLUNGEN!$F$9:$F$128,"Ja")))</x:f>
      </x:c>
      <x:c r="H727" s="88" t="str">
        <x:f>IF(C727="","",MIN(MAX(0,D727+E727-F727-G727),MAX(0,IF(MONATSBUDGET!$C$43="",0,MONATSBUDGET!$C$43)-SUM(F720:F739)-SUM(H720:H726))))</x:f>
      </x:c>
      <x:c r="I727" s="88" t="str">
        <x:f>IF(C727="","",MAX(0,ROUND(D727+E727-F727-G727-H727,2)))</x:f>
      </x:c>
      <x:c r="J727" s="88" t="str">
        <x:f>IF(C727="","",F727+G727+H727)</x:f>
      </x:c>
      <x:c r="K727" s="88" t="str">
        <x:f>IF(C727="","",MAX(0,SUMIFS(SONDERZAHLUNGEN!$E$9:$E$128,SONDERZAHLUNGEN!$B$9:$B$128,C727,SONDERZAHLUNGEN!$C$9:$C$128,A727,SONDERZAHLUNGEN!$H$9:$H$128,"OK",SONDERZAHLUNGEN!$F$9:$F$128,"Ja")-G727))</x:f>
      </x:c>
    </x:row>
    <x:row r="728" ht="19" customHeight="1">
      <x:c r="A728" s="90" t="n">
        <x:f>MONATSBUDGET!$A$43</x:f>
        <x:v>47300</x:v>
      </x:c>
      <x:c r="B728" t="n">
        <x:f>9</x:f>
        <x:v>9</x:v>
      </x:c>
      <x:c r="C728" t="str">
        <x:f>IF($N$17="","",$N$17)</x:f>
      </x:c>
      <x:c r="D728" s="88" t="str">
        <x:f>IF(C728="","",I708)</x:f>
      </x:c>
      <x:c r="E728" s="88" t="str">
        <x:f>IF(C728="","",ROUND(D728*$P$17/12,2))</x:f>
      </x:c>
      <x:c r="F728" s="88" t="str">
        <x:f>IF(C728="","",MIN(D728+E728,$Q$17))</x:f>
      </x:c>
      <x:c r="G728" s="88" t="str">
        <x:f>IF(C728="","",MIN(MAX(0,D728+E728-F728),SUMIFS(SONDERZAHLUNGEN!$E$9:$E$128,SONDERZAHLUNGEN!$B$9:$B$128,C728,SONDERZAHLUNGEN!$C$9:$C$128,A728,SONDERZAHLUNGEN!$H$9:$H$128,"OK",SONDERZAHLUNGEN!$F$9:$F$128,"Ja")))</x:f>
      </x:c>
      <x:c r="H728" s="88" t="str">
        <x:f>IF(C728="","",MIN(MAX(0,D728+E728-F728-G728),MAX(0,IF(MONATSBUDGET!$C$43="",0,MONATSBUDGET!$C$43)-SUM(F720:F739)-SUM(H720:H727))))</x:f>
      </x:c>
      <x:c r="I728" s="88" t="str">
        <x:f>IF(C728="","",MAX(0,ROUND(D728+E728-F728-G728-H728,2)))</x:f>
      </x:c>
      <x:c r="J728" s="88" t="str">
        <x:f>IF(C728="","",F728+G728+H728)</x:f>
      </x:c>
      <x:c r="K728" s="88" t="str">
        <x:f>IF(C728="","",MAX(0,SUMIFS(SONDERZAHLUNGEN!$E$9:$E$128,SONDERZAHLUNGEN!$B$9:$B$128,C728,SONDERZAHLUNGEN!$C$9:$C$128,A728,SONDERZAHLUNGEN!$H$9:$H$128,"OK",SONDERZAHLUNGEN!$F$9:$F$128,"Ja")-G728))</x:f>
      </x:c>
    </x:row>
    <x:row r="729" ht="19" customHeight="1">
      <x:c r="A729" s="90" t="n">
        <x:f>MONATSBUDGET!$A$43</x:f>
        <x:v>47300</x:v>
      </x:c>
      <x:c r="B729" t="n">
        <x:f>10</x:f>
        <x:v>10</x:v>
      </x:c>
      <x:c r="C729" t="str">
        <x:f>IF($N$18="","",$N$18)</x:f>
      </x:c>
      <x:c r="D729" s="88" t="str">
        <x:f>IF(C729="","",I709)</x:f>
      </x:c>
      <x:c r="E729" s="88" t="str">
        <x:f>IF(C729="","",ROUND(D729*$P$18/12,2))</x:f>
      </x:c>
      <x:c r="F729" s="88" t="str">
        <x:f>IF(C729="","",MIN(D729+E729,$Q$18))</x:f>
      </x:c>
      <x:c r="G729" s="88" t="str">
        <x:f>IF(C729="","",MIN(MAX(0,D729+E729-F729),SUMIFS(SONDERZAHLUNGEN!$E$9:$E$128,SONDERZAHLUNGEN!$B$9:$B$128,C729,SONDERZAHLUNGEN!$C$9:$C$128,A729,SONDERZAHLUNGEN!$H$9:$H$128,"OK",SONDERZAHLUNGEN!$F$9:$F$128,"Ja")))</x:f>
      </x:c>
      <x:c r="H729" s="88" t="str">
        <x:f>IF(C729="","",MIN(MAX(0,D729+E729-F729-G729),MAX(0,IF(MONATSBUDGET!$C$43="",0,MONATSBUDGET!$C$43)-SUM(F720:F739)-SUM(H720:H728))))</x:f>
      </x:c>
      <x:c r="I729" s="88" t="str">
        <x:f>IF(C729="","",MAX(0,ROUND(D729+E729-F729-G729-H729,2)))</x:f>
      </x:c>
      <x:c r="J729" s="88" t="str">
        <x:f>IF(C729="","",F729+G729+H729)</x:f>
      </x:c>
      <x:c r="K729" s="88" t="str">
        <x:f>IF(C729="","",MAX(0,SUMIFS(SONDERZAHLUNGEN!$E$9:$E$128,SONDERZAHLUNGEN!$B$9:$B$128,C729,SONDERZAHLUNGEN!$C$9:$C$128,A729,SONDERZAHLUNGEN!$H$9:$H$128,"OK",SONDERZAHLUNGEN!$F$9:$F$128,"Ja")-G729))</x:f>
      </x:c>
    </x:row>
    <x:row r="730" ht="19" customHeight="1">
      <x:c r="A730" s="90" t="n">
        <x:f>MONATSBUDGET!$A$43</x:f>
        <x:v>47300</x:v>
      </x:c>
      <x:c r="B730" t="n">
        <x:f>11</x:f>
        <x:v>11</x:v>
      </x:c>
      <x:c r="C730" t="str">
        <x:f>IF($N$19="","",$N$19)</x:f>
      </x:c>
      <x:c r="D730" s="88" t="str">
        <x:f>IF(C730="","",I710)</x:f>
      </x:c>
      <x:c r="E730" s="88" t="str">
        <x:f>IF(C730="","",ROUND(D730*$P$19/12,2))</x:f>
      </x:c>
      <x:c r="F730" s="88" t="str">
        <x:f>IF(C730="","",MIN(D730+E730,$Q$19))</x:f>
      </x:c>
      <x:c r="G730" s="88" t="str">
        <x:f>IF(C730="","",MIN(MAX(0,D730+E730-F730),SUMIFS(SONDERZAHLUNGEN!$E$9:$E$128,SONDERZAHLUNGEN!$B$9:$B$128,C730,SONDERZAHLUNGEN!$C$9:$C$128,A730,SONDERZAHLUNGEN!$H$9:$H$128,"OK",SONDERZAHLUNGEN!$F$9:$F$128,"Ja")))</x:f>
      </x:c>
      <x:c r="H730" s="88" t="str">
        <x:f>IF(C730="","",MIN(MAX(0,D730+E730-F730-G730),MAX(0,IF(MONATSBUDGET!$C$43="",0,MONATSBUDGET!$C$43)-SUM(F720:F739)-SUM(H720:H729))))</x:f>
      </x:c>
      <x:c r="I730" s="88" t="str">
        <x:f>IF(C730="","",MAX(0,ROUND(D730+E730-F730-G730-H730,2)))</x:f>
      </x:c>
      <x:c r="J730" s="88" t="str">
        <x:f>IF(C730="","",F730+G730+H730)</x:f>
      </x:c>
      <x:c r="K730" s="88" t="str">
        <x:f>IF(C730="","",MAX(0,SUMIFS(SONDERZAHLUNGEN!$E$9:$E$128,SONDERZAHLUNGEN!$B$9:$B$128,C730,SONDERZAHLUNGEN!$C$9:$C$128,A730,SONDERZAHLUNGEN!$H$9:$H$128,"OK",SONDERZAHLUNGEN!$F$9:$F$128,"Ja")-G730))</x:f>
      </x:c>
    </x:row>
    <x:row r="731" ht="19" customHeight="1">
      <x:c r="A731" s="90" t="n">
        <x:f>MONATSBUDGET!$A$43</x:f>
        <x:v>47300</x:v>
      </x:c>
      <x:c r="B731" t="n">
        <x:f>12</x:f>
        <x:v>12</x:v>
      </x:c>
      <x:c r="C731" t="str">
        <x:f>IF($N$20="","",$N$20)</x:f>
      </x:c>
      <x:c r="D731" s="88" t="str">
        <x:f>IF(C731="","",I711)</x:f>
      </x:c>
      <x:c r="E731" s="88" t="str">
        <x:f>IF(C731="","",ROUND(D731*$P$20/12,2))</x:f>
      </x:c>
      <x:c r="F731" s="88" t="str">
        <x:f>IF(C731="","",MIN(D731+E731,$Q$20))</x:f>
      </x:c>
      <x:c r="G731" s="88" t="str">
        <x:f>IF(C731="","",MIN(MAX(0,D731+E731-F731),SUMIFS(SONDERZAHLUNGEN!$E$9:$E$128,SONDERZAHLUNGEN!$B$9:$B$128,C731,SONDERZAHLUNGEN!$C$9:$C$128,A731,SONDERZAHLUNGEN!$H$9:$H$128,"OK",SONDERZAHLUNGEN!$F$9:$F$128,"Ja")))</x:f>
      </x:c>
      <x:c r="H731" s="88" t="str">
        <x:f>IF(C731="","",MIN(MAX(0,D731+E731-F731-G731),MAX(0,IF(MONATSBUDGET!$C$43="",0,MONATSBUDGET!$C$43)-SUM(F720:F739)-SUM(H720:H730))))</x:f>
      </x:c>
      <x:c r="I731" s="88" t="str">
        <x:f>IF(C731="","",MAX(0,ROUND(D731+E731-F731-G731-H731,2)))</x:f>
      </x:c>
      <x:c r="J731" s="88" t="str">
        <x:f>IF(C731="","",F731+G731+H731)</x:f>
      </x:c>
      <x:c r="K731" s="88" t="str">
        <x:f>IF(C731="","",MAX(0,SUMIFS(SONDERZAHLUNGEN!$E$9:$E$128,SONDERZAHLUNGEN!$B$9:$B$128,C731,SONDERZAHLUNGEN!$C$9:$C$128,A731,SONDERZAHLUNGEN!$H$9:$H$128,"OK",SONDERZAHLUNGEN!$F$9:$F$128,"Ja")-G731))</x:f>
      </x:c>
    </x:row>
    <x:row r="732" ht="19" customHeight="1">
      <x:c r="A732" s="90" t="n">
        <x:f>MONATSBUDGET!$A$43</x:f>
        <x:v>47300</x:v>
      </x:c>
      <x:c r="B732" t="n">
        <x:f>13</x:f>
        <x:v>13</x:v>
      </x:c>
      <x:c r="C732" t="str">
        <x:f>IF($N$21="","",$N$21)</x:f>
      </x:c>
      <x:c r="D732" s="88" t="str">
        <x:f>IF(C732="","",I712)</x:f>
      </x:c>
      <x:c r="E732" s="88" t="str">
        <x:f>IF(C732="","",ROUND(D732*$P$21/12,2))</x:f>
      </x:c>
      <x:c r="F732" s="88" t="str">
        <x:f>IF(C732="","",MIN(D732+E732,$Q$21))</x:f>
      </x:c>
      <x:c r="G732" s="88" t="str">
        <x:f>IF(C732="","",MIN(MAX(0,D732+E732-F732),SUMIFS(SONDERZAHLUNGEN!$E$9:$E$128,SONDERZAHLUNGEN!$B$9:$B$128,C732,SONDERZAHLUNGEN!$C$9:$C$128,A732,SONDERZAHLUNGEN!$H$9:$H$128,"OK",SONDERZAHLUNGEN!$F$9:$F$128,"Ja")))</x:f>
      </x:c>
      <x:c r="H732" s="88" t="str">
        <x:f>IF(C732="","",MIN(MAX(0,D732+E732-F732-G732),MAX(0,IF(MONATSBUDGET!$C$43="",0,MONATSBUDGET!$C$43)-SUM(F720:F739)-SUM(H720:H731))))</x:f>
      </x:c>
      <x:c r="I732" s="88" t="str">
        <x:f>IF(C732="","",MAX(0,ROUND(D732+E732-F732-G732-H732,2)))</x:f>
      </x:c>
      <x:c r="J732" s="88" t="str">
        <x:f>IF(C732="","",F732+G732+H732)</x:f>
      </x:c>
      <x:c r="K732" s="88" t="str">
        <x:f>IF(C732="","",MAX(0,SUMIFS(SONDERZAHLUNGEN!$E$9:$E$128,SONDERZAHLUNGEN!$B$9:$B$128,C732,SONDERZAHLUNGEN!$C$9:$C$128,A732,SONDERZAHLUNGEN!$H$9:$H$128,"OK",SONDERZAHLUNGEN!$F$9:$F$128,"Ja")-G732))</x:f>
      </x:c>
    </x:row>
    <x:row r="733" ht="19" customHeight="1">
      <x:c r="A733" s="90" t="n">
        <x:f>MONATSBUDGET!$A$43</x:f>
        <x:v>47300</x:v>
      </x:c>
      <x:c r="B733" t="n">
        <x:f>14</x:f>
        <x:v>14</x:v>
      </x:c>
      <x:c r="C733" t="str">
        <x:f>IF($N$22="","",$N$22)</x:f>
      </x:c>
      <x:c r="D733" s="88" t="str">
        <x:f>IF(C733="","",I713)</x:f>
      </x:c>
      <x:c r="E733" s="88" t="str">
        <x:f>IF(C733="","",ROUND(D733*$P$22/12,2))</x:f>
      </x:c>
      <x:c r="F733" s="88" t="str">
        <x:f>IF(C733="","",MIN(D733+E733,$Q$22))</x:f>
      </x:c>
      <x:c r="G733" s="88" t="str">
        <x:f>IF(C733="","",MIN(MAX(0,D733+E733-F733),SUMIFS(SONDERZAHLUNGEN!$E$9:$E$128,SONDERZAHLUNGEN!$B$9:$B$128,C733,SONDERZAHLUNGEN!$C$9:$C$128,A733,SONDERZAHLUNGEN!$H$9:$H$128,"OK",SONDERZAHLUNGEN!$F$9:$F$128,"Ja")))</x:f>
      </x:c>
      <x:c r="H733" s="88" t="str">
        <x:f>IF(C733="","",MIN(MAX(0,D733+E733-F733-G733),MAX(0,IF(MONATSBUDGET!$C$43="",0,MONATSBUDGET!$C$43)-SUM(F720:F739)-SUM(H720:H732))))</x:f>
      </x:c>
      <x:c r="I733" s="88" t="str">
        <x:f>IF(C733="","",MAX(0,ROUND(D733+E733-F733-G733-H733,2)))</x:f>
      </x:c>
      <x:c r="J733" s="88" t="str">
        <x:f>IF(C733="","",F733+G733+H733)</x:f>
      </x:c>
      <x:c r="K733" s="88" t="str">
        <x:f>IF(C733="","",MAX(0,SUMIFS(SONDERZAHLUNGEN!$E$9:$E$128,SONDERZAHLUNGEN!$B$9:$B$128,C733,SONDERZAHLUNGEN!$C$9:$C$128,A733,SONDERZAHLUNGEN!$H$9:$H$128,"OK",SONDERZAHLUNGEN!$F$9:$F$128,"Ja")-G733))</x:f>
      </x:c>
    </x:row>
    <x:row r="734" ht="19" customHeight="1">
      <x:c r="A734" s="90" t="n">
        <x:f>MONATSBUDGET!$A$43</x:f>
        <x:v>47300</x:v>
      </x:c>
      <x:c r="B734" t="n">
        <x:f>15</x:f>
        <x:v>15</x:v>
      </x:c>
      <x:c r="C734" t="str">
        <x:f>IF($N$23="","",$N$23)</x:f>
      </x:c>
      <x:c r="D734" s="88" t="str">
        <x:f>IF(C734="","",I714)</x:f>
      </x:c>
      <x:c r="E734" s="88" t="str">
        <x:f>IF(C734="","",ROUND(D734*$P$23/12,2))</x:f>
      </x:c>
      <x:c r="F734" s="88" t="str">
        <x:f>IF(C734="","",MIN(D734+E734,$Q$23))</x:f>
      </x:c>
      <x:c r="G734" s="88" t="str">
        <x:f>IF(C734="","",MIN(MAX(0,D734+E734-F734),SUMIFS(SONDERZAHLUNGEN!$E$9:$E$128,SONDERZAHLUNGEN!$B$9:$B$128,C734,SONDERZAHLUNGEN!$C$9:$C$128,A734,SONDERZAHLUNGEN!$H$9:$H$128,"OK",SONDERZAHLUNGEN!$F$9:$F$128,"Ja")))</x:f>
      </x:c>
      <x:c r="H734" s="88" t="str">
        <x:f>IF(C734="","",MIN(MAX(0,D734+E734-F734-G734),MAX(0,IF(MONATSBUDGET!$C$43="",0,MONATSBUDGET!$C$43)-SUM(F720:F739)-SUM(H720:H733))))</x:f>
      </x:c>
      <x:c r="I734" s="88" t="str">
        <x:f>IF(C734="","",MAX(0,ROUND(D734+E734-F734-G734-H734,2)))</x:f>
      </x:c>
      <x:c r="J734" s="88" t="str">
        <x:f>IF(C734="","",F734+G734+H734)</x:f>
      </x:c>
      <x:c r="K734" s="88" t="str">
        <x:f>IF(C734="","",MAX(0,SUMIFS(SONDERZAHLUNGEN!$E$9:$E$128,SONDERZAHLUNGEN!$B$9:$B$128,C734,SONDERZAHLUNGEN!$C$9:$C$128,A734,SONDERZAHLUNGEN!$H$9:$H$128,"OK",SONDERZAHLUNGEN!$F$9:$F$128,"Ja")-G734))</x:f>
      </x:c>
    </x:row>
    <x:row r="735" ht="19" customHeight="1">
      <x:c r="A735" s="90" t="n">
        <x:f>MONATSBUDGET!$A$43</x:f>
        <x:v>47300</x:v>
      </x:c>
      <x:c r="B735" t="n">
        <x:f>16</x:f>
        <x:v>16</x:v>
      </x:c>
      <x:c r="C735" t="str">
        <x:f>IF($N$24="","",$N$24)</x:f>
      </x:c>
      <x:c r="D735" s="88" t="str">
        <x:f>IF(C735="","",I715)</x:f>
      </x:c>
      <x:c r="E735" s="88" t="str">
        <x:f>IF(C735="","",ROUND(D735*$P$24/12,2))</x:f>
      </x:c>
      <x:c r="F735" s="88" t="str">
        <x:f>IF(C735="","",MIN(D735+E735,$Q$24))</x:f>
      </x:c>
      <x:c r="G735" s="88" t="str">
        <x:f>IF(C735="","",MIN(MAX(0,D735+E735-F735),SUMIFS(SONDERZAHLUNGEN!$E$9:$E$128,SONDERZAHLUNGEN!$B$9:$B$128,C735,SONDERZAHLUNGEN!$C$9:$C$128,A735,SONDERZAHLUNGEN!$H$9:$H$128,"OK",SONDERZAHLUNGEN!$F$9:$F$128,"Ja")))</x:f>
      </x:c>
      <x:c r="H735" s="88" t="str">
        <x:f>IF(C735="","",MIN(MAX(0,D735+E735-F735-G735),MAX(0,IF(MONATSBUDGET!$C$43="",0,MONATSBUDGET!$C$43)-SUM(F720:F739)-SUM(H720:H734))))</x:f>
      </x:c>
      <x:c r="I735" s="88" t="str">
        <x:f>IF(C735="","",MAX(0,ROUND(D735+E735-F735-G735-H735,2)))</x:f>
      </x:c>
      <x:c r="J735" s="88" t="str">
        <x:f>IF(C735="","",F735+G735+H735)</x:f>
      </x:c>
      <x:c r="K735" s="88" t="str">
        <x:f>IF(C735="","",MAX(0,SUMIFS(SONDERZAHLUNGEN!$E$9:$E$128,SONDERZAHLUNGEN!$B$9:$B$128,C735,SONDERZAHLUNGEN!$C$9:$C$128,A735,SONDERZAHLUNGEN!$H$9:$H$128,"OK",SONDERZAHLUNGEN!$F$9:$F$128,"Ja")-G735))</x:f>
      </x:c>
    </x:row>
    <x:row r="736" ht="19" customHeight="1">
      <x:c r="A736" s="90" t="n">
        <x:f>MONATSBUDGET!$A$43</x:f>
        <x:v>47300</x:v>
      </x:c>
      <x:c r="B736" t="n">
        <x:f>17</x:f>
        <x:v>17</x:v>
      </x:c>
      <x:c r="C736" t="str">
        <x:f>IF($N$25="","",$N$25)</x:f>
      </x:c>
      <x:c r="D736" s="88" t="str">
        <x:f>IF(C736="","",I716)</x:f>
      </x:c>
      <x:c r="E736" s="88" t="str">
        <x:f>IF(C736="","",ROUND(D736*$P$25/12,2))</x:f>
      </x:c>
      <x:c r="F736" s="88" t="str">
        <x:f>IF(C736="","",MIN(D736+E736,$Q$25))</x:f>
      </x:c>
      <x:c r="G736" s="88" t="str">
        <x:f>IF(C736="","",MIN(MAX(0,D736+E736-F736),SUMIFS(SONDERZAHLUNGEN!$E$9:$E$128,SONDERZAHLUNGEN!$B$9:$B$128,C736,SONDERZAHLUNGEN!$C$9:$C$128,A736,SONDERZAHLUNGEN!$H$9:$H$128,"OK",SONDERZAHLUNGEN!$F$9:$F$128,"Ja")))</x:f>
      </x:c>
      <x:c r="H736" s="88" t="str">
        <x:f>IF(C736="","",MIN(MAX(0,D736+E736-F736-G736),MAX(0,IF(MONATSBUDGET!$C$43="",0,MONATSBUDGET!$C$43)-SUM(F720:F739)-SUM(H720:H735))))</x:f>
      </x:c>
      <x:c r="I736" s="88" t="str">
        <x:f>IF(C736="","",MAX(0,ROUND(D736+E736-F736-G736-H736,2)))</x:f>
      </x:c>
      <x:c r="J736" s="88" t="str">
        <x:f>IF(C736="","",F736+G736+H736)</x:f>
      </x:c>
      <x:c r="K736" s="88" t="str">
        <x:f>IF(C736="","",MAX(0,SUMIFS(SONDERZAHLUNGEN!$E$9:$E$128,SONDERZAHLUNGEN!$B$9:$B$128,C736,SONDERZAHLUNGEN!$C$9:$C$128,A736,SONDERZAHLUNGEN!$H$9:$H$128,"OK",SONDERZAHLUNGEN!$F$9:$F$128,"Ja")-G736))</x:f>
      </x:c>
    </x:row>
    <x:row r="737" ht="19" customHeight="1">
      <x:c r="A737" s="90" t="n">
        <x:f>MONATSBUDGET!$A$43</x:f>
        <x:v>47300</x:v>
      </x:c>
      <x:c r="B737" t="n">
        <x:f>18</x:f>
        <x:v>18</x:v>
      </x:c>
      <x:c r="C737" t="str">
        <x:f>IF($N$26="","",$N$26)</x:f>
      </x:c>
      <x:c r="D737" s="88" t="str">
        <x:f>IF(C737="","",I717)</x:f>
      </x:c>
      <x:c r="E737" s="88" t="str">
        <x:f>IF(C737="","",ROUND(D737*$P$26/12,2))</x:f>
      </x:c>
      <x:c r="F737" s="88" t="str">
        <x:f>IF(C737="","",MIN(D737+E737,$Q$26))</x:f>
      </x:c>
      <x:c r="G737" s="88" t="str">
        <x:f>IF(C737="","",MIN(MAX(0,D737+E737-F737),SUMIFS(SONDERZAHLUNGEN!$E$9:$E$128,SONDERZAHLUNGEN!$B$9:$B$128,C737,SONDERZAHLUNGEN!$C$9:$C$128,A737,SONDERZAHLUNGEN!$H$9:$H$128,"OK",SONDERZAHLUNGEN!$F$9:$F$128,"Ja")))</x:f>
      </x:c>
      <x:c r="H737" s="88" t="str">
        <x:f>IF(C737="","",MIN(MAX(0,D737+E737-F737-G737),MAX(0,IF(MONATSBUDGET!$C$43="",0,MONATSBUDGET!$C$43)-SUM(F720:F739)-SUM(H720:H736))))</x:f>
      </x:c>
      <x:c r="I737" s="88" t="str">
        <x:f>IF(C737="","",MAX(0,ROUND(D737+E737-F737-G737-H737,2)))</x:f>
      </x:c>
      <x:c r="J737" s="88" t="str">
        <x:f>IF(C737="","",F737+G737+H737)</x:f>
      </x:c>
      <x:c r="K737" s="88" t="str">
        <x:f>IF(C737="","",MAX(0,SUMIFS(SONDERZAHLUNGEN!$E$9:$E$128,SONDERZAHLUNGEN!$B$9:$B$128,C737,SONDERZAHLUNGEN!$C$9:$C$128,A737,SONDERZAHLUNGEN!$H$9:$H$128,"OK",SONDERZAHLUNGEN!$F$9:$F$128,"Ja")-G737))</x:f>
      </x:c>
    </x:row>
    <x:row r="738" ht="19" customHeight="1">
      <x:c r="A738" s="90" t="n">
        <x:f>MONATSBUDGET!$A$43</x:f>
        <x:v>47300</x:v>
      </x:c>
      <x:c r="B738" t="n">
        <x:f>19</x:f>
        <x:v>19</x:v>
      </x:c>
      <x:c r="C738" t="str">
        <x:f>IF($N$27="","",$N$27)</x:f>
      </x:c>
      <x:c r="D738" s="88" t="str">
        <x:f>IF(C738="","",I718)</x:f>
      </x:c>
      <x:c r="E738" s="88" t="str">
        <x:f>IF(C738="","",ROUND(D738*$P$27/12,2))</x:f>
      </x:c>
      <x:c r="F738" s="88" t="str">
        <x:f>IF(C738="","",MIN(D738+E738,$Q$27))</x:f>
      </x:c>
      <x:c r="G738" s="88" t="str">
        <x:f>IF(C738="","",MIN(MAX(0,D738+E738-F738),SUMIFS(SONDERZAHLUNGEN!$E$9:$E$128,SONDERZAHLUNGEN!$B$9:$B$128,C738,SONDERZAHLUNGEN!$C$9:$C$128,A738,SONDERZAHLUNGEN!$H$9:$H$128,"OK",SONDERZAHLUNGEN!$F$9:$F$128,"Ja")))</x:f>
      </x:c>
      <x:c r="H738" s="88" t="str">
        <x:f>IF(C738="","",MIN(MAX(0,D738+E738-F738-G738),MAX(0,IF(MONATSBUDGET!$C$43="",0,MONATSBUDGET!$C$43)-SUM(F720:F739)-SUM(H720:H737))))</x:f>
      </x:c>
      <x:c r="I738" s="88" t="str">
        <x:f>IF(C738="","",MAX(0,ROUND(D738+E738-F738-G738-H738,2)))</x:f>
      </x:c>
      <x:c r="J738" s="88" t="str">
        <x:f>IF(C738="","",F738+G738+H738)</x:f>
      </x:c>
      <x:c r="K738" s="88" t="str">
        <x:f>IF(C738="","",MAX(0,SUMIFS(SONDERZAHLUNGEN!$E$9:$E$128,SONDERZAHLUNGEN!$B$9:$B$128,C738,SONDERZAHLUNGEN!$C$9:$C$128,A738,SONDERZAHLUNGEN!$H$9:$H$128,"OK",SONDERZAHLUNGEN!$F$9:$F$128,"Ja")-G738))</x:f>
      </x:c>
    </x:row>
    <x:row r="739" ht="19" customHeight="1">
      <x:c r="A739" s="90" t="n">
        <x:f>MONATSBUDGET!$A$43</x:f>
        <x:v>47300</x:v>
      </x:c>
      <x:c r="B739" t="n">
        <x:f>20</x:f>
        <x:v>20</x:v>
      </x:c>
      <x:c r="C739" t="str">
        <x:f>IF($N$28="","",$N$28)</x:f>
      </x:c>
      <x:c r="D739" s="88" t="str">
        <x:f>IF(C739="","",I719)</x:f>
      </x:c>
      <x:c r="E739" s="88" t="str">
        <x:f>IF(C739="","",ROUND(D739*$P$28/12,2))</x:f>
      </x:c>
      <x:c r="F739" s="88" t="str">
        <x:f>IF(C739="","",MIN(D739+E739,$Q$28))</x:f>
      </x:c>
      <x:c r="G739" s="88" t="str">
        <x:f>IF(C739="","",MIN(MAX(0,D739+E739-F739),SUMIFS(SONDERZAHLUNGEN!$E$9:$E$128,SONDERZAHLUNGEN!$B$9:$B$128,C739,SONDERZAHLUNGEN!$C$9:$C$128,A739,SONDERZAHLUNGEN!$H$9:$H$128,"OK",SONDERZAHLUNGEN!$F$9:$F$128,"Ja")))</x:f>
      </x:c>
      <x:c r="H739" s="88" t="str">
        <x:f>IF(C739="","",MIN(MAX(0,D739+E739-F739-G739),MAX(0,IF(MONATSBUDGET!$C$43="",0,MONATSBUDGET!$C$43)-SUM(F720:F739)-SUM(H720:H738))))</x:f>
      </x:c>
      <x:c r="I739" s="88" t="str">
        <x:f>IF(C739="","",MAX(0,ROUND(D739+E739-F739-G739-H739,2)))</x:f>
      </x:c>
      <x:c r="J739" s="88" t="str">
        <x:f>IF(C739="","",F739+G739+H739)</x:f>
      </x:c>
      <x:c r="K739" s="88" t="str">
        <x:f>IF(C739="","",MAX(0,SUMIFS(SONDERZAHLUNGEN!$E$9:$E$128,SONDERZAHLUNGEN!$B$9:$B$128,C739,SONDERZAHLUNGEN!$C$9:$C$128,A739,SONDERZAHLUNGEN!$H$9:$H$128,"OK",SONDERZAHLUNGEN!$F$9:$F$128,"Ja")-G739))</x:f>
      </x:c>
    </x:row>
    <x:row r="740" ht="19" customHeight="1">
      <x:c r="A740" s="90" t="n">
        <x:f>MONATSBUDGET!$A$44</x:f>
        <x:v>47331</x:v>
      </x:c>
      <x:c r="B740" t="n">
        <x:f>1</x:f>
        <x:v>1</x:v>
      </x:c>
      <x:c r="C740" t="str">
        <x:f>IF($N$9="","",$N$9)</x:f>
      </x:c>
      <x:c r="D740" s="88" t="str">
        <x:f>IF(C740="","",I720)</x:f>
      </x:c>
      <x:c r="E740" s="88" t="str">
        <x:f>IF(C740="","",ROUND(D740*$P$9/12,2))</x:f>
      </x:c>
      <x:c r="F740" s="88" t="str">
        <x:f>IF(C740="","",MIN(D740+E740,$Q$9))</x:f>
      </x:c>
      <x:c r="G740" s="88" t="str">
        <x:f>IF(C740="","",MIN(MAX(0,D740+E740-F740),SUMIFS(SONDERZAHLUNGEN!$E$9:$E$128,SONDERZAHLUNGEN!$B$9:$B$128,C740,SONDERZAHLUNGEN!$C$9:$C$128,A740,SONDERZAHLUNGEN!$H$9:$H$128,"OK",SONDERZAHLUNGEN!$F$9:$F$128,"Ja")))</x:f>
      </x:c>
      <x:c r="H740" s="88" t="str">
        <x:f>IF(C740="","",MIN(MAX(0,D740+E740-F740-G740),MAX(0,IF(MONATSBUDGET!$C$44="",0,MONATSBUDGET!$C$44)-SUM(F740:F759)-0)))</x:f>
      </x:c>
      <x:c r="I740" s="88" t="str">
        <x:f>IF(C740="","",MAX(0,ROUND(D740+E740-F740-G740-H740,2)))</x:f>
      </x:c>
      <x:c r="J740" s="88" t="str">
        <x:f>IF(C740="","",F740+G740+H740)</x:f>
      </x:c>
      <x:c r="K740" s="88" t="str">
        <x:f>IF(C740="","",MAX(0,SUMIFS(SONDERZAHLUNGEN!$E$9:$E$128,SONDERZAHLUNGEN!$B$9:$B$128,C740,SONDERZAHLUNGEN!$C$9:$C$128,A740,SONDERZAHLUNGEN!$H$9:$H$128,"OK",SONDERZAHLUNGEN!$F$9:$F$128,"Ja")-G740))</x:f>
      </x:c>
    </x:row>
    <x:row r="741" ht="19" customHeight="1">
      <x:c r="A741" s="90" t="n">
        <x:f>MONATSBUDGET!$A$44</x:f>
        <x:v>47331</x:v>
      </x:c>
      <x:c r="B741" t="n">
        <x:f>2</x:f>
        <x:v>2</x:v>
      </x:c>
      <x:c r="C741" t="str">
        <x:f>IF($N$10="","",$N$10)</x:f>
      </x:c>
      <x:c r="D741" s="88" t="str">
        <x:f>IF(C741="","",I721)</x:f>
      </x:c>
      <x:c r="E741" s="88" t="str">
        <x:f>IF(C741="","",ROUND(D741*$P$10/12,2))</x:f>
      </x:c>
      <x:c r="F741" s="88" t="str">
        <x:f>IF(C741="","",MIN(D741+E741,$Q$10))</x:f>
      </x:c>
      <x:c r="G741" s="88" t="str">
        <x:f>IF(C741="","",MIN(MAX(0,D741+E741-F741),SUMIFS(SONDERZAHLUNGEN!$E$9:$E$128,SONDERZAHLUNGEN!$B$9:$B$128,C741,SONDERZAHLUNGEN!$C$9:$C$128,A741,SONDERZAHLUNGEN!$H$9:$H$128,"OK",SONDERZAHLUNGEN!$F$9:$F$128,"Ja")))</x:f>
      </x:c>
      <x:c r="H741" s="88" t="str">
        <x:f>IF(C741="","",MIN(MAX(0,D741+E741-F741-G741),MAX(0,IF(MONATSBUDGET!$C$44="",0,MONATSBUDGET!$C$44)-SUM(F740:F759)-SUM(H740:H740))))</x:f>
      </x:c>
      <x:c r="I741" s="88" t="str">
        <x:f>IF(C741="","",MAX(0,ROUND(D741+E741-F741-G741-H741,2)))</x:f>
      </x:c>
      <x:c r="J741" s="88" t="str">
        <x:f>IF(C741="","",F741+G741+H741)</x:f>
      </x:c>
      <x:c r="K741" s="88" t="str">
        <x:f>IF(C741="","",MAX(0,SUMIFS(SONDERZAHLUNGEN!$E$9:$E$128,SONDERZAHLUNGEN!$B$9:$B$128,C741,SONDERZAHLUNGEN!$C$9:$C$128,A741,SONDERZAHLUNGEN!$H$9:$H$128,"OK",SONDERZAHLUNGEN!$F$9:$F$128,"Ja")-G741))</x:f>
      </x:c>
    </x:row>
    <x:row r="742" ht="19" customHeight="1">
      <x:c r="A742" s="90" t="n">
        <x:f>MONATSBUDGET!$A$44</x:f>
        <x:v>47331</x:v>
      </x:c>
      <x:c r="B742" t="n">
        <x:f>3</x:f>
        <x:v>3</x:v>
      </x:c>
      <x:c r="C742" t="str">
        <x:f>IF($N$11="","",$N$11)</x:f>
      </x:c>
      <x:c r="D742" s="88" t="str">
        <x:f>IF(C742="","",I722)</x:f>
      </x:c>
      <x:c r="E742" s="88" t="str">
        <x:f>IF(C742="","",ROUND(D742*$P$11/12,2))</x:f>
      </x:c>
      <x:c r="F742" s="88" t="str">
        <x:f>IF(C742="","",MIN(D742+E742,$Q$11))</x:f>
      </x:c>
      <x:c r="G742" s="88" t="str">
        <x:f>IF(C742="","",MIN(MAX(0,D742+E742-F742),SUMIFS(SONDERZAHLUNGEN!$E$9:$E$128,SONDERZAHLUNGEN!$B$9:$B$128,C742,SONDERZAHLUNGEN!$C$9:$C$128,A742,SONDERZAHLUNGEN!$H$9:$H$128,"OK",SONDERZAHLUNGEN!$F$9:$F$128,"Ja")))</x:f>
      </x:c>
      <x:c r="H742" s="88" t="str">
        <x:f>IF(C742="","",MIN(MAX(0,D742+E742-F742-G742),MAX(0,IF(MONATSBUDGET!$C$44="",0,MONATSBUDGET!$C$44)-SUM(F740:F759)-SUM(H740:H741))))</x:f>
      </x:c>
      <x:c r="I742" s="88" t="str">
        <x:f>IF(C742="","",MAX(0,ROUND(D742+E742-F742-G742-H742,2)))</x:f>
      </x:c>
      <x:c r="J742" s="88" t="str">
        <x:f>IF(C742="","",F742+G742+H742)</x:f>
      </x:c>
      <x:c r="K742" s="88" t="str">
        <x:f>IF(C742="","",MAX(0,SUMIFS(SONDERZAHLUNGEN!$E$9:$E$128,SONDERZAHLUNGEN!$B$9:$B$128,C742,SONDERZAHLUNGEN!$C$9:$C$128,A742,SONDERZAHLUNGEN!$H$9:$H$128,"OK",SONDERZAHLUNGEN!$F$9:$F$128,"Ja")-G742))</x:f>
      </x:c>
    </x:row>
    <x:row r="743" ht="19" customHeight="1">
      <x:c r="A743" s="90" t="n">
        <x:f>MONATSBUDGET!$A$44</x:f>
        <x:v>47331</x:v>
      </x:c>
      <x:c r="B743" t="n">
        <x:f>4</x:f>
        <x:v>4</x:v>
      </x:c>
      <x:c r="C743" t="str">
        <x:f>IF($N$12="","",$N$12)</x:f>
      </x:c>
      <x:c r="D743" s="88" t="str">
        <x:f>IF(C743="","",I723)</x:f>
      </x:c>
      <x:c r="E743" s="88" t="str">
        <x:f>IF(C743="","",ROUND(D743*$P$12/12,2))</x:f>
      </x:c>
      <x:c r="F743" s="88" t="str">
        <x:f>IF(C743="","",MIN(D743+E743,$Q$12))</x:f>
      </x:c>
      <x:c r="G743" s="88" t="str">
        <x:f>IF(C743="","",MIN(MAX(0,D743+E743-F743),SUMIFS(SONDERZAHLUNGEN!$E$9:$E$128,SONDERZAHLUNGEN!$B$9:$B$128,C743,SONDERZAHLUNGEN!$C$9:$C$128,A743,SONDERZAHLUNGEN!$H$9:$H$128,"OK",SONDERZAHLUNGEN!$F$9:$F$128,"Ja")))</x:f>
      </x:c>
      <x:c r="H743" s="88" t="str">
        <x:f>IF(C743="","",MIN(MAX(0,D743+E743-F743-G743),MAX(0,IF(MONATSBUDGET!$C$44="",0,MONATSBUDGET!$C$44)-SUM(F740:F759)-SUM(H740:H742))))</x:f>
      </x:c>
      <x:c r="I743" s="88" t="str">
        <x:f>IF(C743="","",MAX(0,ROUND(D743+E743-F743-G743-H743,2)))</x:f>
      </x:c>
      <x:c r="J743" s="88" t="str">
        <x:f>IF(C743="","",F743+G743+H743)</x:f>
      </x:c>
      <x:c r="K743" s="88" t="str">
        <x:f>IF(C743="","",MAX(0,SUMIFS(SONDERZAHLUNGEN!$E$9:$E$128,SONDERZAHLUNGEN!$B$9:$B$128,C743,SONDERZAHLUNGEN!$C$9:$C$128,A743,SONDERZAHLUNGEN!$H$9:$H$128,"OK",SONDERZAHLUNGEN!$F$9:$F$128,"Ja")-G743))</x:f>
      </x:c>
    </x:row>
    <x:row r="744" ht="19" customHeight="1">
      <x:c r="A744" s="90" t="n">
        <x:f>MONATSBUDGET!$A$44</x:f>
        <x:v>47331</x:v>
      </x:c>
      <x:c r="B744" t="n">
        <x:f>5</x:f>
        <x:v>5</x:v>
      </x:c>
      <x:c r="C744" t="str">
        <x:f>IF($N$13="","",$N$13)</x:f>
      </x:c>
      <x:c r="D744" s="88" t="str">
        <x:f>IF(C744="","",I724)</x:f>
      </x:c>
      <x:c r="E744" s="88" t="str">
        <x:f>IF(C744="","",ROUND(D744*$P$13/12,2))</x:f>
      </x:c>
      <x:c r="F744" s="88" t="str">
        <x:f>IF(C744="","",MIN(D744+E744,$Q$13))</x:f>
      </x:c>
      <x:c r="G744" s="88" t="str">
        <x:f>IF(C744="","",MIN(MAX(0,D744+E744-F744),SUMIFS(SONDERZAHLUNGEN!$E$9:$E$128,SONDERZAHLUNGEN!$B$9:$B$128,C744,SONDERZAHLUNGEN!$C$9:$C$128,A744,SONDERZAHLUNGEN!$H$9:$H$128,"OK",SONDERZAHLUNGEN!$F$9:$F$128,"Ja")))</x:f>
      </x:c>
      <x:c r="H744" s="88" t="str">
        <x:f>IF(C744="","",MIN(MAX(0,D744+E744-F744-G744),MAX(0,IF(MONATSBUDGET!$C$44="",0,MONATSBUDGET!$C$44)-SUM(F740:F759)-SUM(H740:H743))))</x:f>
      </x:c>
      <x:c r="I744" s="88" t="str">
        <x:f>IF(C744="","",MAX(0,ROUND(D744+E744-F744-G744-H744,2)))</x:f>
      </x:c>
      <x:c r="J744" s="88" t="str">
        <x:f>IF(C744="","",F744+G744+H744)</x:f>
      </x:c>
      <x:c r="K744" s="88" t="str">
        <x:f>IF(C744="","",MAX(0,SUMIFS(SONDERZAHLUNGEN!$E$9:$E$128,SONDERZAHLUNGEN!$B$9:$B$128,C744,SONDERZAHLUNGEN!$C$9:$C$128,A744,SONDERZAHLUNGEN!$H$9:$H$128,"OK",SONDERZAHLUNGEN!$F$9:$F$128,"Ja")-G744))</x:f>
      </x:c>
    </x:row>
    <x:row r="745" ht="19" customHeight="1">
      <x:c r="A745" s="90" t="n">
        <x:f>MONATSBUDGET!$A$44</x:f>
        <x:v>47331</x:v>
      </x:c>
      <x:c r="B745" t="n">
        <x:f>6</x:f>
        <x:v>6</x:v>
      </x:c>
      <x:c r="C745" t="str">
        <x:f>IF($N$14="","",$N$14)</x:f>
      </x:c>
      <x:c r="D745" s="88" t="str">
        <x:f>IF(C745="","",I725)</x:f>
      </x:c>
      <x:c r="E745" s="88" t="str">
        <x:f>IF(C745="","",ROUND(D745*$P$14/12,2))</x:f>
      </x:c>
      <x:c r="F745" s="88" t="str">
        <x:f>IF(C745="","",MIN(D745+E745,$Q$14))</x:f>
      </x:c>
      <x:c r="G745" s="88" t="str">
        <x:f>IF(C745="","",MIN(MAX(0,D745+E745-F745),SUMIFS(SONDERZAHLUNGEN!$E$9:$E$128,SONDERZAHLUNGEN!$B$9:$B$128,C745,SONDERZAHLUNGEN!$C$9:$C$128,A745,SONDERZAHLUNGEN!$H$9:$H$128,"OK",SONDERZAHLUNGEN!$F$9:$F$128,"Ja")))</x:f>
      </x:c>
      <x:c r="H745" s="88" t="str">
        <x:f>IF(C745="","",MIN(MAX(0,D745+E745-F745-G745),MAX(0,IF(MONATSBUDGET!$C$44="",0,MONATSBUDGET!$C$44)-SUM(F740:F759)-SUM(H740:H744))))</x:f>
      </x:c>
      <x:c r="I745" s="88" t="str">
        <x:f>IF(C745="","",MAX(0,ROUND(D745+E745-F745-G745-H745,2)))</x:f>
      </x:c>
      <x:c r="J745" s="88" t="str">
        <x:f>IF(C745="","",F745+G745+H745)</x:f>
      </x:c>
      <x:c r="K745" s="88" t="str">
        <x:f>IF(C745="","",MAX(0,SUMIFS(SONDERZAHLUNGEN!$E$9:$E$128,SONDERZAHLUNGEN!$B$9:$B$128,C745,SONDERZAHLUNGEN!$C$9:$C$128,A745,SONDERZAHLUNGEN!$H$9:$H$128,"OK",SONDERZAHLUNGEN!$F$9:$F$128,"Ja")-G745))</x:f>
      </x:c>
    </x:row>
    <x:row r="746" ht="19" customHeight="1">
      <x:c r="A746" s="90" t="n">
        <x:f>MONATSBUDGET!$A$44</x:f>
        <x:v>47331</x:v>
      </x:c>
      <x:c r="B746" t="n">
        <x:f>7</x:f>
        <x:v>7</x:v>
      </x:c>
      <x:c r="C746" t="str">
        <x:f>IF($N$15="","",$N$15)</x:f>
      </x:c>
      <x:c r="D746" s="88" t="str">
        <x:f>IF(C746="","",I726)</x:f>
      </x:c>
      <x:c r="E746" s="88" t="str">
        <x:f>IF(C746="","",ROUND(D746*$P$15/12,2))</x:f>
      </x:c>
      <x:c r="F746" s="88" t="str">
        <x:f>IF(C746="","",MIN(D746+E746,$Q$15))</x:f>
      </x:c>
      <x:c r="G746" s="88" t="str">
        <x:f>IF(C746="","",MIN(MAX(0,D746+E746-F746),SUMIFS(SONDERZAHLUNGEN!$E$9:$E$128,SONDERZAHLUNGEN!$B$9:$B$128,C746,SONDERZAHLUNGEN!$C$9:$C$128,A746,SONDERZAHLUNGEN!$H$9:$H$128,"OK",SONDERZAHLUNGEN!$F$9:$F$128,"Ja")))</x:f>
      </x:c>
      <x:c r="H746" s="88" t="str">
        <x:f>IF(C746="","",MIN(MAX(0,D746+E746-F746-G746),MAX(0,IF(MONATSBUDGET!$C$44="",0,MONATSBUDGET!$C$44)-SUM(F740:F759)-SUM(H740:H745))))</x:f>
      </x:c>
      <x:c r="I746" s="88" t="str">
        <x:f>IF(C746="","",MAX(0,ROUND(D746+E746-F746-G746-H746,2)))</x:f>
      </x:c>
      <x:c r="J746" s="88" t="str">
        <x:f>IF(C746="","",F746+G746+H746)</x:f>
      </x:c>
      <x:c r="K746" s="88" t="str">
        <x:f>IF(C746="","",MAX(0,SUMIFS(SONDERZAHLUNGEN!$E$9:$E$128,SONDERZAHLUNGEN!$B$9:$B$128,C746,SONDERZAHLUNGEN!$C$9:$C$128,A746,SONDERZAHLUNGEN!$H$9:$H$128,"OK",SONDERZAHLUNGEN!$F$9:$F$128,"Ja")-G746))</x:f>
      </x:c>
    </x:row>
    <x:row r="747" ht="19" customHeight="1">
      <x:c r="A747" s="90" t="n">
        <x:f>MONATSBUDGET!$A$44</x:f>
        <x:v>47331</x:v>
      </x:c>
      <x:c r="B747" t="n">
        <x:f>8</x:f>
        <x:v>8</x:v>
      </x:c>
      <x:c r="C747" t="str">
        <x:f>IF($N$16="","",$N$16)</x:f>
      </x:c>
      <x:c r="D747" s="88" t="str">
        <x:f>IF(C747="","",I727)</x:f>
      </x:c>
      <x:c r="E747" s="88" t="str">
        <x:f>IF(C747="","",ROUND(D747*$P$16/12,2))</x:f>
      </x:c>
      <x:c r="F747" s="88" t="str">
        <x:f>IF(C747="","",MIN(D747+E747,$Q$16))</x:f>
      </x:c>
      <x:c r="G747" s="88" t="str">
        <x:f>IF(C747="","",MIN(MAX(0,D747+E747-F747),SUMIFS(SONDERZAHLUNGEN!$E$9:$E$128,SONDERZAHLUNGEN!$B$9:$B$128,C747,SONDERZAHLUNGEN!$C$9:$C$128,A747,SONDERZAHLUNGEN!$H$9:$H$128,"OK",SONDERZAHLUNGEN!$F$9:$F$128,"Ja")))</x:f>
      </x:c>
      <x:c r="H747" s="88" t="str">
        <x:f>IF(C747="","",MIN(MAX(0,D747+E747-F747-G747),MAX(0,IF(MONATSBUDGET!$C$44="",0,MONATSBUDGET!$C$44)-SUM(F740:F759)-SUM(H740:H746))))</x:f>
      </x:c>
      <x:c r="I747" s="88" t="str">
        <x:f>IF(C747="","",MAX(0,ROUND(D747+E747-F747-G747-H747,2)))</x:f>
      </x:c>
      <x:c r="J747" s="88" t="str">
        <x:f>IF(C747="","",F747+G747+H747)</x:f>
      </x:c>
      <x:c r="K747" s="88" t="str">
        <x:f>IF(C747="","",MAX(0,SUMIFS(SONDERZAHLUNGEN!$E$9:$E$128,SONDERZAHLUNGEN!$B$9:$B$128,C747,SONDERZAHLUNGEN!$C$9:$C$128,A747,SONDERZAHLUNGEN!$H$9:$H$128,"OK",SONDERZAHLUNGEN!$F$9:$F$128,"Ja")-G747))</x:f>
      </x:c>
    </x:row>
    <x:row r="748" ht="19" customHeight="1">
      <x:c r="A748" s="90" t="n">
        <x:f>MONATSBUDGET!$A$44</x:f>
        <x:v>47331</x:v>
      </x:c>
      <x:c r="B748" t="n">
        <x:f>9</x:f>
        <x:v>9</x:v>
      </x:c>
      <x:c r="C748" t="str">
        <x:f>IF($N$17="","",$N$17)</x:f>
      </x:c>
      <x:c r="D748" s="88" t="str">
        <x:f>IF(C748="","",I728)</x:f>
      </x:c>
      <x:c r="E748" s="88" t="str">
        <x:f>IF(C748="","",ROUND(D748*$P$17/12,2))</x:f>
      </x:c>
      <x:c r="F748" s="88" t="str">
        <x:f>IF(C748="","",MIN(D748+E748,$Q$17))</x:f>
      </x:c>
      <x:c r="G748" s="88" t="str">
        <x:f>IF(C748="","",MIN(MAX(0,D748+E748-F748),SUMIFS(SONDERZAHLUNGEN!$E$9:$E$128,SONDERZAHLUNGEN!$B$9:$B$128,C748,SONDERZAHLUNGEN!$C$9:$C$128,A748,SONDERZAHLUNGEN!$H$9:$H$128,"OK",SONDERZAHLUNGEN!$F$9:$F$128,"Ja")))</x:f>
      </x:c>
      <x:c r="H748" s="88" t="str">
        <x:f>IF(C748="","",MIN(MAX(0,D748+E748-F748-G748),MAX(0,IF(MONATSBUDGET!$C$44="",0,MONATSBUDGET!$C$44)-SUM(F740:F759)-SUM(H740:H747))))</x:f>
      </x:c>
      <x:c r="I748" s="88" t="str">
        <x:f>IF(C748="","",MAX(0,ROUND(D748+E748-F748-G748-H748,2)))</x:f>
      </x:c>
      <x:c r="J748" s="88" t="str">
        <x:f>IF(C748="","",F748+G748+H748)</x:f>
      </x:c>
      <x:c r="K748" s="88" t="str">
        <x:f>IF(C748="","",MAX(0,SUMIFS(SONDERZAHLUNGEN!$E$9:$E$128,SONDERZAHLUNGEN!$B$9:$B$128,C748,SONDERZAHLUNGEN!$C$9:$C$128,A748,SONDERZAHLUNGEN!$H$9:$H$128,"OK",SONDERZAHLUNGEN!$F$9:$F$128,"Ja")-G748))</x:f>
      </x:c>
    </x:row>
    <x:row r="749" ht="19" customHeight="1">
      <x:c r="A749" s="90" t="n">
        <x:f>MONATSBUDGET!$A$44</x:f>
        <x:v>47331</x:v>
      </x:c>
      <x:c r="B749" t="n">
        <x:f>10</x:f>
        <x:v>10</x:v>
      </x:c>
      <x:c r="C749" t="str">
        <x:f>IF($N$18="","",$N$18)</x:f>
      </x:c>
      <x:c r="D749" s="88" t="str">
        <x:f>IF(C749="","",I729)</x:f>
      </x:c>
      <x:c r="E749" s="88" t="str">
        <x:f>IF(C749="","",ROUND(D749*$P$18/12,2))</x:f>
      </x:c>
      <x:c r="F749" s="88" t="str">
        <x:f>IF(C749="","",MIN(D749+E749,$Q$18))</x:f>
      </x:c>
      <x:c r="G749" s="88" t="str">
        <x:f>IF(C749="","",MIN(MAX(0,D749+E749-F749),SUMIFS(SONDERZAHLUNGEN!$E$9:$E$128,SONDERZAHLUNGEN!$B$9:$B$128,C749,SONDERZAHLUNGEN!$C$9:$C$128,A749,SONDERZAHLUNGEN!$H$9:$H$128,"OK",SONDERZAHLUNGEN!$F$9:$F$128,"Ja")))</x:f>
      </x:c>
      <x:c r="H749" s="88" t="str">
        <x:f>IF(C749="","",MIN(MAX(0,D749+E749-F749-G749),MAX(0,IF(MONATSBUDGET!$C$44="",0,MONATSBUDGET!$C$44)-SUM(F740:F759)-SUM(H740:H748))))</x:f>
      </x:c>
      <x:c r="I749" s="88" t="str">
        <x:f>IF(C749="","",MAX(0,ROUND(D749+E749-F749-G749-H749,2)))</x:f>
      </x:c>
      <x:c r="J749" s="88" t="str">
        <x:f>IF(C749="","",F749+G749+H749)</x:f>
      </x:c>
      <x:c r="K749" s="88" t="str">
        <x:f>IF(C749="","",MAX(0,SUMIFS(SONDERZAHLUNGEN!$E$9:$E$128,SONDERZAHLUNGEN!$B$9:$B$128,C749,SONDERZAHLUNGEN!$C$9:$C$128,A749,SONDERZAHLUNGEN!$H$9:$H$128,"OK",SONDERZAHLUNGEN!$F$9:$F$128,"Ja")-G749))</x:f>
      </x:c>
    </x:row>
    <x:row r="750" ht="19" customHeight="1">
      <x:c r="A750" s="90" t="n">
        <x:f>MONATSBUDGET!$A$44</x:f>
        <x:v>47331</x:v>
      </x:c>
      <x:c r="B750" t="n">
        <x:f>11</x:f>
        <x:v>11</x:v>
      </x:c>
      <x:c r="C750" t="str">
        <x:f>IF($N$19="","",$N$19)</x:f>
      </x:c>
      <x:c r="D750" s="88" t="str">
        <x:f>IF(C750="","",I730)</x:f>
      </x:c>
      <x:c r="E750" s="88" t="str">
        <x:f>IF(C750="","",ROUND(D750*$P$19/12,2))</x:f>
      </x:c>
      <x:c r="F750" s="88" t="str">
        <x:f>IF(C750="","",MIN(D750+E750,$Q$19))</x:f>
      </x:c>
      <x:c r="G750" s="88" t="str">
        <x:f>IF(C750="","",MIN(MAX(0,D750+E750-F750),SUMIFS(SONDERZAHLUNGEN!$E$9:$E$128,SONDERZAHLUNGEN!$B$9:$B$128,C750,SONDERZAHLUNGEN!$C$9:$C$128,A750,SONDERZAHLUNGEN!$H$9:$H$128,"OK",SONDERZAHLUNGEN!$F$9:$F$128,"Ja")))</x:f>
      </x:c>
      <x:c r="H750" s="88" t="str">
        <x:f>IF(C750="","",MIN(MAX(0,D750+E750-F750-G750),MAX(0,IF(MONATSBUDGET!$C$44="",0,MONATSBUDGET!$C$44)-SUM(F740:F759)-SUM(H740:H749))))</x:f>
      </x:c>
      <x:c r="I750" s="88" t="str">
        <x:f>IF(C750="","",MAX(0,ROUND(D750+E750-F750-G750-H750,2)))</x:f>
      </x:c>
      <x:c r="J750" s="88" t="str">
        <x:f>IF(C750="","",F750+G750+H750)</x:f>
      </x:c>
      <x:c r="K750" s="88" t="str">
        <x:f>IF(C750="","",MAX(0,SUMIFS(SONDERZAHLUNGEN!$E$9:$E$128,SONDERZAHLUNGEN!$B$9:$B$128,C750,SONDERZAHLUNGEN!$C$9:$C$128,A750,SONDERZAHLUNGEN!$H$9:$H$128,"OK",SONDERZAHLUNGEN!$F$9:$F$128,"Ja")-G750))</x:f>
      </x:c>
    </x:row>
    <x:row r="751" ht="19" customHeight="1">
      <x:c r="A751" s="90" t="n">
        <x:f>MONATSBUDGET!$A$44</x:f>
        <x:v>47331</x:v>
      </x:c>
      <x:c r="B751" t="n">
        <x:f>12</x:f>
        <x:v>12</x:v>
      </x:c>
      <x:c r="C751" t="str">
        <x:f>IF($N$20="","",$N$20)</x:f>
      </x:c>
      <x:c r="D751" s="88" t="str">
        <x:f>IF(C751="","",I731)</x:f>
      </x:c>
      <x:c r="E751" s="88" t="str">
        <x:f>IF(C751="","",ROUND(D751*$P$20/12,2))</x:f>
      </x:c>
      <x:c r="F751" s="88" t="str">
        <x:f>IF(C751="","",MIN(D751+E751,$Q$20))</x:f>
      </x:c>
      <x:c r="G751" s="88" t="str">
        <x:f>IF(C751="","",MIN(MAX(0,D751+E751-F751),SUMIFS(SONDERZAHLUNGEN!$E$9:$E$128,SONDERZAHLUNGEN!$B$9:$B$128,C751,SONDERZAHLUNGEN!$C$9:$C$128,A751,SONDERZAHLUNGEN!$H$9:$H$128,"OK",SONDERZAHLUNGEN!$F$9:$F$128,"Ja")))</x:f>
      </x:c>
      <x:c r="H751" s="88" t="str">
        <x:f>IF(C751="","",MIN(MAX(0,D751+E751-F751-G751),MAX(0,IF(MONATSBUDGET!$C$44="",0,MONATSBUDGET!$C$44)-SUM(F740:F759)-SUM(H740:H750))))</x:f>
      </x:c>
      <x:c r="I751" s="88" t="str">
        <x:f>IF(C751="","",MAX(0,ROUND(D751+E751-F751-G751-H751,2)))</x:f>
      </x:c>
      <x:c r="J751" s="88" t="str">
        <x:f>IF(C751="","",F751+G751+H751)</x:f>
      </x:c>
      <x:c r="K751" s="88" t="str">
        <x:f>IF(C751="","",MAX(0,SUMIFS(SONDERZAHLUNGEN!$E$9:$E$128,SONDERZAHLUNGEN!$B$9:$B$128,C751,SONDERZAHLUNGEN!$C$9:$C$128,A751,SONDERZAHLUNGEN!$H$9:$H$128,"OK",SONDERZAHLUNGEN!$F$9:$F$128,"Ja")-G751))</x:f>
      </x:c>
    </x:row>
    <x:row r="752" ht="19" customHeight="1">
      <x:c r="A752" s="90" t="n">
        <x:f>MONATSBUDGET!$A$44</x:f>
        <x:v>47331</x:v>
      </x:c>
      <x:c r="B752" t="n">
        <x:f>13</x:f>
        <x:v>13</x:v>
      </x:c>
      <x:c r="C752" t="str">
        <x:f>IF($N$21="","",$N$21)</x:f>
      </x:c>
      <x:c r="D752" s="88" t="str">
        <x:f>IF(C752="","",I732)</x:f>
      </x:c>
      <x:c r="E752" s="88" t="str">
        <x:f>IF(C752="","",ROUND(D752*$P$21/12,2))</x:f>
      </x:c>
      <x:c r="F752" s="88" t="str">
        <x:f>IF(C752="","",MIN(D752+E752,$Q$21))</x:f>
      </x:c>
      <x:c r="G752" s="88" t="str">
        <x:f>IF(C752="","",MIN(MAX(0,D752+E752-F752),SUMIFS(SONDERZAHLUNGEN!$E$9:$E$128,SONDERZAHLUNGEN!$B$9:$B$128,C752,SONDERZAHLUNGEN!$C$9:$C$128,A752,SONDERZAHLUNGEN!$H$9:$H$128,"OK",SONDERZAHLUNGEN!$F$9:$F$128,"Ja")))</x:f>
      </x:c>
      <x:c r="H752" s="88" t="str">
        <x:f>IF(C752="","",MIN(MAX(0,D752+E752-F752-G752),MAX(0,IF(MONATSBUDGET!$C$44="",0,MONATSBUDGET!$C$44)-SUM(F740:F759)-SUM(H740:H751))))</x:f>
      </x:c>
      <x:c r="I752" s="88" t="str">
        <x:f>IF(C752="","",MAX(0,ROUND(D752+E752-F752-G752-H752,2)))</x:f>
      </x:c>
      <x:c r="J752" s="88" t="str">
        <x:f>IF(C752="","",F752+G752+H752)</x:f>
      </x:c>
      <x:c r="K752" s="88" t="str">
        <x:f>IF(C752="","",MAX(0,SUMIFS(SONDERZAHLUNGEN!$E$9:$E$128,SONDERZAHLUNGEN!$B$9:$B$128,C752,SONDERZAHLUNGEN!$C$9:$C$128,A752,SONDERZAHLUNGEN!$H$9:$H$128,"OK",SONDERZAHLUNGEN!$F$9:$F$128,"Ja")-G752))</x:f>
      </x:c>
    </x:row>
    <x:row r="753" ht="19" customHeight="1">
      <x:c r="A753" s="90" t="n">
        <x:f>MONATSBUDGET!$A$44</x:f>
        <x:v>47331</x:v>
      </x:c>
      <x:c r="B753" t="n">
        <x:f>14</x:f>
        <x:v>14</x:v>
      </x:c>
      <x:c r="C753" t="str">
        <x:f>IF($N$22="","",$N$22)</x:f>
      </x:c>
      <x:c r="D753" s="88" t="str">
        <x:f>IF(C753="","",I733)</x:f>
      </x:c>
      <x:c r="E753" s="88" t="str">
        <x:f>IF(C753="","",ROUND(D753*$P$22/12,2))</x:f>
      </x:c>
      <x:c r="F753" s="88" t="str">
        <x:f>IF(C753="","",MIN(D753+E753,$Q$22))</x:f>
      </x:c>
      <x:c r="G753" s="88" t="str">
        <x:f>IF(C753="","",MIN(MAX(0,D753+E753-F753),SUMIFS(SONDERZAHLUNGEN!$E$9:$E$128,SONDERZAHLUNGEN!$B$9:$B$128,C753,SONDERZAHLUNGEN!$C$9:$C$128,A753,SONDERZAHLUNGEN!$H$9:$H$128,"OK",SONDERZAHLUNGEN!$F$9:$F$128,"Ja")))</x:f>
      </x:c>
      <x:c r="H753" s="88" t="str">
        <x:f>IF(C753="","",MIN(MAX(0,D753+E753-F753-G753),MAX(0,IF(MONATSBUDGET!$C$44="",0,MONATSBUDGET!$C$44)-SUM(F740:F759)-SUM(H740:H752))))</x:f>
      </x:c>
      <x:c r="I753" s="88" t="str">
        <x:f>IF(C753="","",MAX(0,ROUND(D753+E753-F753-G753-H753,2)))</x:f>
      </x:c>
      <x:c r="J753" s="88" t="str">
        <x:f>IF(C753="","",F753+G753+H753)</x:f>
      </x:c>
      <x:c r="K753" s="88" t="str">
        <x:f>IF(C753="","",MAX(0,SUMIFS(SONDERZAHLUNGEN!$E$9:$E$128,SONDERZAHLUNGEN!$B$9:$B$128,C753,SONDERZAHLUNGEN!$C$9:$C$128,A753,SONDERZAHLUNGEN!$H$9:$H$128,"OK",SONDERZAHLUNGEN!$F$9:$F$128,"Ja")-G753))</x:f>
      </x:c>
    </x:row>
    <x:row r="754" ht="19" customHeight="1">
      <x:c r="A754" s="90" t="n">
        <x:f>MONATSBUDGET!$A$44</x:f>
        <x:v>47331</x:v>
      </x:c>
      <x:c r="B754" t="n">
        <x:f>15</x:f>
        <x:v>15</x:v>
      </x:c>
      <x:c r="C754" t="str">
        <x:f>IF($N$23="","",$N$23)</x:f>
      </x:c>
      <x:c r="D754" s="88" t="str">
        <x:f>IF(C754="","",I734)</x:f>
      </x:c>
      <x:c r="E754" s="88" t="str">
        <x:f>IF(C754="","",ROUND(D754*$P$23/12,2))</x:f>
      </x:c>
      <x:c r="F754" s="88" t="str">
        <x:f>IF(C754="","",MIN(D754+E754,$Q$23))</x:f>
      </x:c>
      <x:c r="G754" s="88" t="str">
        <x:f>IF(C754="","",MIN(MAX(0,D754+E754-F754),SUMIFS(SONDERZAHLUNGEN!$E$9:$E$128,SONDERZAHLUNGEN!$B$9:$B$128,C754,SONDERZAHLUNGEN!$C$9:$C$128,A754,SONDERZAHLUNGEN!$H$9:$H$128,"OK",SONDERZAHLUNGEN!$F$9:$F$128,"Ja")))</x:f>
      </x:c>
      <x:c r="H754" s="88" t="str">
        <x:f>IF(C754="","",MIN(MAX(0,D754+E754-F754-G754),MAX(0,IF(MONATSBUDGET!$C$44="",0,MONATSBUDGET!$C$44)-SUM(F740:F759)-SUM(H740:H753))))</x:f>
      </x:c>
      <x:c r="I754" s="88" t="str">
        <x:f>IF(C754="","",MAX(0,ROUND(D754+E754-F754-G754-H754,2)))</x:f>
      </x:c>
      <x:c r="J754" s="88" t="str">
        <x:f>IF(C754="","",F754+G754+H754)</x:f>
      </x:c>
      <x:c r="K754" s="88" t="str">
        <x:f>IF(C754="","",MAX(0,SUMIFS(SONDERZAHLUNGEN!$E$9:$E$128,SONDERZAHLUNGEN!$B$9:$B$128,C754,SONDERZAHLUNGEN!$C$9:$C$128,A754,SONDERZAHLUNGEN!$H$9:$H$128,"OK",SONDERZAHLUNGEN!$F$9:$F$128,"Ja")-G754))</x:f>
      </x:c>
    </x:row>
    <x:row r="755" ht="19" customHeight="1">
      <x:c r="A755" s="90" t="n">
        <x:f>MONATSBUDGET!$A$44</x:f>
        <x:v>47331</x:v>
      </x:c>
      <x:c r="B755" t="n">
        <x:f>16</x:f>
        <x:v>16</x:v>
      </x:c>
      <x:c r="C755" t="str">
        <x:f>IF($N$24="","",$N$24)</x:f>
      </x:c>
      <x:c r="D755" s="88" t="str">
        <x:f>IF(C755="","",I735)</x:f>
      </x:c>
      <x:c r="E755" s="88" t="str">
        <x:f>IF(C755="","",ROUND(D755*$P$24/12,2))</x:f>
      </x:c>
      <x:c r="F755" s="88" t="str">
        <x:f>IF(C755="","",MIN(D755+E755,$Q$24))</x:f>
      </x:c>
      <x:c r="G755" s="88" t="str">
        <x:f>IF(C755="","",MIN(MAX(0,D755+E755-F755),SUMIFS(SONDERZAHLUNGEN!$E$9:$E$128,SONDERZAHLUNGEN!$B$9:$B$128,C755,SONDERZAHLUNGEN!$C$9:$C$128,A755,SONDERZAHLUNGEN!$H$9:$H$128,"OK",SONDERZAHLUNGEN!$F$9:$F$128,"Ja")))</x:f>
      </x:c>
      <x:c r="H755" s="88" t="str">
        <x:f>IF(C755="","",MIN(MAX(0,D755+E755-F755-G755),MAX(0,IF(MONATSBUDGET!$C$44="",0,MONATSBUDGET!$C$44)-SUM(F740:F759)-SUM(H740:H754))))</x:f>
      </x:c>
      <x:c r="I755" s="88" t="str">
        <x:f>IF(C755="","",MAX(0,ROUND(D755+E755-F755-G755-H755,2)))</x:f>
      </x:c>
      <x:c r="J755" s="88" t="str">
        <x:f>IF(C755="","",F755+G755+H755)</x:f>
      </x:c>
      <x:c r="K755" s="88" t="str">
        <x:f>IF(C755="","",MAX(0,SUMIFS(SONDERZAHLUNGEN!$E$9:$E$128,SONDERZAHLUNGEN!$B$9:$B$128,C755,SONDERZAHLUNGEN!$C$9:$C$128,A755,SONDERZAHLUNGEN!$H$9:$H$128,"OK",SONDERZAHLUNGEN!$F$9:$F$128,"Ja")-G755))</x:f>
      </x:c>
    </x:row>
    <x:row r="756" ht="19" customHeight="1">
      <x:c r="A756" s="90" t="n">
        <x:f>MONATSBUDGET!$A$44</x:f>
        <x:v>47331</x:v>
      </x:c>
      <x:c r="B756" t="n">
        <x:f>17</x:f>
        <x:v>17</x:v>
      </x:c>
      <x:c r="C756" t="str">
        <x:f>IF($N$25="","",$N$25)</x:f>
      </x:c>
      <x:c r="D756" s="88" t="str">
        <x:f>IF(C756="","",I736)</x:f>
      </x:c>
      <x:c r="E756" s="88" t="str">
        <x:f>IF(C756="","",ROUND(D756*$P$25/12,2))</x:f>
      </x:c>
      <x:c r="F756" s="88" t="str">
        <x:f>IF(C756="","",MIN(D756+E756,$Q$25))</x:f>
      </x:c>
      <x:c r="G756" s="88" t="str">
        <x:f>IF(C756="","",MIN(MAX(0,D756+E756-F756),SUMIFS(SONDERZAHLUNGEN!$E$9:$E$128,SONDERZAHLUNGEN!$B$9:$B$128,C756,SONDERZAHLUNGEN!$C$9:$C$128,A756,SONDERZAHLUNGEN!$H$9:$H$128,"OK",SONDERZAHLUNGEN!$F$9:$F$128,"Ja")))</x:f>
      </x:c>
      <x:c r="H756" s="88" t="str">
        <x:f>IF(C756="","",MIN(MAX(0,D756+E756-F756-G756),MAX(0,IF(MONATSBUDGET!$C$44="",0,MONATSBUDGET!$C$44)-SUM(F740:F759)-SUM(H740:H755))))</x:f>
      </x:c>
      <x:c r="I756" s="88" t="str">
        <x:f>IF(C756="","",MAX(0,ROUND(D756+E756-F756-G756-H756,2)))</x:f>
      </x:c>
      <x:c r="J756" s="88" t="str">
        <x:f>IF(C756="","",F756+G756+H756)</x:f>
      </x:c>
      <x:c r="K756" s="88" t="str">
        <x:f>IF(C756="","",MAX(0,SUMIFS(SONDERZAHLUNGEN!$E$9:$E$128,SONDERZAHLUNGEN!$B$9:$B$128,C756,SONDERZAHLUNGEN!$C$9:$C$128,A756,SONDERZAHLUNGEN!$H$9:$H$128,"OK",SONDERZAHLUNGEN!$F$9:$F$128,"Ja")-G756))</x:f>
      </x:c>
    </x:row>
    <x:row r="757" ht="19" customHeight="1">
      <x:c r="A757" s="90" t="n">
        <x:f>MONATSBUDGET!$A$44</x:f>
        <x:v>47331</x:v>
      </x:c>
      <x:c r="B757" t="n">
        <x:f>18</x:f>
        <x:v>18</x:v>
      </x:c>
      <x:c r="C757" t="str">
        <x:f>IF($N$26="","",$N$26)</x:f>
      </x:c>
      <x:c r="D757" s="88" t="str">
        <x:f>IF(C757="","",I737)</x:f>
      </x:c>
      <x:c r="E757" s="88" t="str">
        <x:f>IF(C757="","",ROUND(D757*$P$26/12,2))</x:f>
      </x:c>
      <x:c r="F757" s="88" t="str">
        <x:f>IF(C757="","",MIN(D757+E757,$Q$26))</x:f>
      </x:c>
      <x:c r="G757" s="88" t="str">
        <x:f>IF(C757="","",MIN(MAX(0,D757+E757-F757),SUMIFS(SONDERZAHLUNGEN!$E$9:$E$128,SONDERZAHLUNGEN!$B$9:$B$128,C757,SONDERZAHLUNGEN!$C$9:$C$128,A757,SONDERZAHLUNGEN!$H$9:$H$128,"OK",SONDERZAHLUNGEN!$F$9:$F$128,"Ja")))</x:f>
      </x:c>
      <x:c r="H757" s="88" t="str">
        <x:f>IF(C757="","",MIN(MAX(0,D757+E757-F757-G757),MAX(0,IF(MONATSBUDGET!$C$44="",0,MONATSBUDGET!$C$44)-SUM(F740:F759)-SUM(H740:H756))))</x:f>
      </x:c>
      <x:c r="I757" s="88" t="str">
        <x:f>IF(C757="","",MAX(0,ROUND(D757+E757-F757-G757-H757,2)))</x:f>
      </x:c>
      <x:c r="J757" s="88" t="str">
        <x:f>IF(C757="","",F757+G757+H757)</x:f>
      </x:c>
      <x:c r="K757" s="88" t="str">
        <x:f>IF(C757="","",MAX(0,SUMIFS(SONDERZAHLUNGEN!$E$9:$E$128,SONDERZAHLUNGEN!$B$9:$B$128,C757,SONDERZAHLUNGEN!$C$9:$C$128,A757,SONDERZAHLUNGEN!$H$9:$H$128,"OK",SONDERZAHLUNGEN!$F$9:$F$128,"Ja")-G757))</x:f>
      </x:c>
    </x:row>
    <x:row r="758" ht="19" customHeight="1">
      <x:c r="A758" s="90" t="n">
        <x:f>MONATSBUDGET!$A$44</x:f>
        <x:v>47331</x:v>
      </x:c>
      <x:c r="B758" t="n">
        <x:f>19</x:f>
        <x:v>19</x:v>
      </x:c>
      <x:c r="C758" t="str">
        <x:f>IF($N$27="","",$N$27)</x:f>
      </x:c>
      <x:c r="D758" s="88" t="str">
        <x:f>IF(C758="","",I738)</x:f>
      </x:c>
      <x:c r="E758" s="88" t="str">
        <x:f>IF(C758="","",ROUND(D758*$P$27/12,2))</x:f>
      </x:c>
      <x:c r="F758" s="88" t="str">
        <x:f>IF(C758="","",MIN(D758+E758,$Q$27))</x:f>
      </x:c>
      <x:c r="G758" s="88" t="str">
        <x:f>IF(C758="","",MIN(MAX(0,D758+E758-F758),SUMIFS(SONDERZAHLUNGEN!$E$9:$E$128,SONDERZAHLUNGEN!$B$9:$B$128,C758,SONDERZAHLUNGEN!$C$9:$C$128,A758,SONDERZAHLUNGEN!$H$9:$H$128,"OK",SONDERZAHLUNGEN!$F$9:$F$128,"Ja")))</x:f>
      </x:c>
      <x:c r="H758" s="88" t="str">
        <x:f>IF(C758="","",MIN(MAX(0,D758+E758-F758-G758),MAX(0,IF(MONATSBUDGET!$C$44="",0,MONATSBUDGET!$C$44)-SUM(F740:F759)-SUM(H740:H757))))</x:f>
      </x:c>
      <x:c r="I758" s="88" t="str">
        <x:f>IF(C758="","",MAX(0,ROUND(D758+E758-F758-G758-H758,2)))</x:f>
      </x:c>
      <x:c r="J758" s="88" t="str">
        <x:f>IF(C758="","",F758+G758+H758)</x:f>
      </x:c>
      <x:c r="K758" s="88" t="str">
        <x:f>IF(C758="","",MAX(0,SUMIFS(SONDERZAHLUNGEN!$E$9:$E$128,SONDERZAHLUNGEN!$B$9:$B$128,C758,SONDERZAHLUNGEN!$C$9:$C$128,A758,SONDERZAHLUNGEN!$H$9:$H$128,"OK",SONDERZAHLUNGEN!$F$9:$F$128,"Ja")-G758))</x:f>
      </x:c>
    </x:row>
    <x:row r="759" ht="19" customHeight="1">
      <x:c r="A759" s="90" t="n">
        <x:f>MONATSBUDGET!$A$44</x:f>
        <x:v>47331</x:v>
      </x:c>
      <x:c r="B759" t="n">
        <x:f>20</x:f>
        <x:v>20</x:v>
      </x:c>
      <x:c r="C759" t="str">
        <x:f>IF($N$28="","",$N$28)</x:f>
      </x:c>
      <x:c r="D759" s="88" t="str">
        <x:f>IF(C759="","",I739)</x:f>
      </x:c>
      <x:c r="E759" s="88" t="str">
        <x:f>IF(C759="","",ROUND(D759*$P$28/12,2))</x:f>
      </x:c>
      <x:c r="F759" s="88" t="str">
        <x:f>IF(C759="","",MIN(D759+E759,$Q$28))</x:f>
      </x:c>
      <x:c r="G759" s="88" t="str">
        <x:f>IF(C759="","",MIN(MAX(0,D759+E759-F759),SUMIFS(SONDERZAHLUNGEN!$E$9:$E$128,SONDERZAHLUNGEN!$B$9:$B$128,C759,SONDERZAHLUNGEN!$C$9:$C$128,A759,SONDERZAHLUNGEN!$H$9:$H$128,"OK",SONDERZAHLUNGEN!$F$9:$F$128,"Ja")))</x:f>
      </x:c>
      <x:c r="H759" s="88" t="str">
        <x:f>IF(C759="","",MIN(MAX(0,D759+E759-F759-G759),MAX(0,IF(MONATSBUDGET!$C$44="",0,MONATSBUDGET!$C$44)-SUM(F740:F759)-SUM(H740:H758))))</x:f>
      </x:c>
      <x:c r="I759" s="88" t="str">
        <x:f>IF(C759="","",MAX(0,ROUND(D759+E759-F759-G759-H759,2)))</x:f>
      </x:c>
      <x:c r="J759" s="88" t="str">
        <x:f>IF(C759="","",F759+G759+H759)</x:f>
      </x:c>
      <x:c r="K759" s="88" t="str">
        <x:f>IF(C759="","",MAX(0,SUMIFS(SONDERZAHLUNGEN!$E$9:$E$128,SONDERZAHLUNGEN!$B$9:$B$128,C759,SONDERZAHLUNGEN!$C$9:$C$128,A759,SONDERZAHLUNGEN!$H$9:$H$128,"OK",SONDERZAHLUNGEN!$F$9:$F$128,"Ja")-G759))</x:f>
      </x:c>
    </x:row>
    <x:row r="760" ht="19" customHeight="1">
      <x:c r="A760" s="90" t="n">
        <x:f>MONATSBUDGET!$A$45</x:f>
        <x:v>47362</x:v>
      </x:c>
      <x:c r="B760" t="n">
        <x:f>1</x:f>
        <x:v>1</x:v>
      </x:c>
      <x:c r="C760" t="str">
        <x:f>IF($N$9="","",$N$9)</x:f>
      </x:c>
      <x:c r="D760" s="88" t="str">
        <x:f>IF(C760="","",I740)</x:f>
      </x:c>
      <x:c r="E760" s="88" t="str">
        <x:f>IF(C760="","",ROUND(D760*$P$9/12,2))</x:f>
      </x:c>
      <x:c r="F760" s="88" t="str">
        <x:f>IF(C760="","",MIN(D760+E760,$Q$9))</x:f>
      </x:c>
      <x:c r="G760" s="88" t="str">
        <x:f>IF(C760="","",MIN(MAX(0,D760+E760-F760),SUMIFS(SONDERZAHLUNGEN!$E$9:$E$128,SONDERZAHLUNGEN!$B$9:$B$128,C760,SONDERZAHLUNGEN!$C$9:$C$128,A760,SONDERZAHLUNGEN!$H$9:$H$128,"OK",SONDERZAHLUNGEN!$F$9:$F$128,"Ja")))</x:f>
      </x:c>
      <x:c r="H760" s="88" t="str">
        <x:f>IF(C760="","",MIN(MAX(0,D760+E760-F760-G760),MAX(0,IF(MONATSBUDGET!$C$45="",0,MONATSBUDGET!$C$45)-SUM(F760:F779)-0)))</x:f>
      </x:c>
      <x:c r="I760" s="88" t="str">
        <x:f>IF(C760="","",MAX(0,ROUND(D760+E760-F760-G760-H760,2)))</x:f>
      </x:c>
      <x:c r="J760" s="88" t="str">
        <x:f>IF(C760="","",F760+G760+H760)</x:f>
      </x:c>
      <x:c r="K760" s="88" t="str">
        <x:f>IF(C760="","",MAX(0,SUMIFS(SONDERZAHLUNGEN!$E$9:$E$128,SONDERZAHLUNGEN!$B$9:$B$128,C760,SONDERZAHLUNGEN!$C$9:$C$128,A760,SONDERZAHLUNGEN!$H$9:$H$128,"OK",SONDERZAHLUNGEN!$F$9:$F$128,"Ja")-G760))</x:f>
      </x:c>
    </x:row>
    <x:row r="761" ht="19" customHeight="1">
      <x:c r="A761" s="90" t="n">
        <x:f>MONATSBUDGET!$A$45</x:f>
        <x:v>47362</x:v>
      </x:c>
      <x:c r="B761" t="n">
        <x:f>2</x:f>
        <x:v>2</x:v>
      </x:c>
      <x:c r="C761" t="str">
        <x:f>IF($N$10="","",$N$10)</x:f>
      </x:c>
      <x:c r="D761" s="88" t="str">
        <x:f>IF(C761="","",I741)</x:f>
      </x:c>
      <x:c r="E761" s="88" t="str">
        <x:f>IF(C761="","",ROUND(D761*$P$10/12,2))</x:f>
      </x:c>
      <x:c r="F761" s="88" t="str">
        <x:f>IF(C761="","",MIN(D761+E761,$Q$10))</x:f>
      </x:c>
      <x:c r="G761" s="88" t="str">
        <x:f>IF(C761="","",MIN(MAX(0,D761+E761-F761),SUMIFS(SONDERZAHLUNGEN!$E$9:$E$128,SONDERZAHLUNGEN!$B$9:$B$128,C761,SONDERZAHLUNGEN!$C$9:$C$128,A761,SONDERZAHLUNGEN!$H$9:$H$128,"OK",SONDERZAHLUNGEN!$F$9:$F$128,"Ja")))</x:f>
      </x:c>
      <x:c r="H761" s="88" t="str">
        <x:f>IF(C761="","",MIN(MAX(0,D761+E761-F761-G761),MAX(0,IF(MONATSBUDGET!$C$45="",0,MONATSBUDGET!$C$45)-SUM(F760:F779)-SUM(H760:H760))))</x:f>
      </x:c>
      <x:c r="I761" s="88" t="str">
        <x:f>IF(C761="","",MAX(0,ROUND(D761+E761-F761-G761-H761,2)))</x:f>
      </x:c>
      <x:c r="J761" s="88" t="str">
        <x:f>IF(C761="","",F761+G761+H761)</x:f>
      </x:c>
      <x:c r="K761" s="88" t="str">
        <x:f>IF(C761="","",MAX(0,SUMIFS(SONDERZAHLUNGEN!$E$9:$E$128,SONDERZAHLUNGEN!$B$9:$B$128,C761,SONDERZAHLUNGEN!$C$9:$C$128,A761,SONDERZAHLUNGEN!$H$9:$H$128,"OK",SONDERZAHLUNGEN!$F$9:$F$128,"Ja")-G761))</x:f>
      </x:c>
    </x:row>
    <x:row r="762" ht="19" customHeight="1">
      <x:c r="A762" s="90" t="n">
        <x:f>MONATSBUDGET!$A$45</x:f>
        <x:v>47362</x:v>
      </x:c>
      <x:c r="B762" t="n">
        <x:f>3</x:f>
        <x:v>3</x:v>
      </x:c>
      <x:c r="C762" t="str">
        <x:f>IF($N$11="","",$N$11)</x:f>
      </x:c>
      <x:c r="D762" s="88" t="str">
        <x:f>IF(C762="","",I742)</x:f>
      </x:c>
      <x:c r="E762" s="88" t="str">
        <x:f>IF(C762="","",ROUND(D762*$P$11/12,2))</x:f>
      </x:c>
      <x:c r="F762" s="88" t="str">
        <x:f>IF(C762="","",MIN(D762+E762,$Q$11))</x:f>
      </x:c>
      <x:c r="G762" s="88" t="str">
        <x:f>IF(C762="","",MIN(MAX(0,D762+E762-F762),SUMIFS(SONDERZAHLUNGEN!$E$9:$E$128,SONDERZAHLUNGEN!$B$9:$B$128,C762,SONDERZAHLUNGEN!$C$9:$C$128,A762,SONDERZAHLUNGEN!$H$9:$H$128,"OK",SONDERZAHLUNGEN!$F$9:$F$128,"Ja")))</x:f>
      </x:c>
      <x:c r="H762" s="88" t="str">
        <x:f>IF(C762="","",MIN(MAX(0,D762+E762-F762-G762),MAX(0,IF(MONATSBUDGET!$C$45="",0,MONATSBUDGET!$C$45)-SUM(F760:F779)-SUM(H760:H761))))</x:f>
      </x:c>
      <x:c r="I762" s="88" t="str">
        <x:f>IF(C762="","",MAX(0,ROUND(D762+E762-F762-G762-H762,2)))</x:f>
      </x:c>
      <x:c r="J762" s="88" t="str">
        <x:f>IF(C762="","",F762+G762+H762)</x:f>
      </x:c>
      <x:c r="K762" s="88" t="str">
        <x:f>IF(C762="","",MAX(0,SUMIFS(SONDERZAHLUNGEN!$E$9:$E$128,SONDERZAHLUNGEN!$B$9:$B$128,C762,SONDERZAHLUNGEN!$C$9:$C$128,A762,SONDERZAHLUNGEN!$H$9:$H$128,"OK",SONDERZAHLUNGEN!$F$9:$F$128,"Ja")-G762))</x:f>
      </x:c>
    </x:row>
    <x:row r="763" ht="19" customHeight="1">
      <x:c r="A763" s="90" t="n">
        <x:f>MONATSBUDGET!$A$45</x:f>
        <x:v>47362</x:v>
      </x:c>
      <x:c r="B763" t="n">
        <x:f>4</x:f>
        <x:v>4</x:v>
      </x:c>
      <x:c r="C763" t="str">
        <x:f>IF($N$12="","",$N$12)</x:f>
      </x:c>
      <x:c r="D763" s="88" t="str">
        <x:f>IF(C763="","",I743)</x:f>
      </x:c>
      <x:c r="E763" s="88" t="str">
        <x:f>IF(C763="","",ROUND(D763*$P$12/12,2))</x:f>
      </x:c>
      <x:c r="F763" s="88" t="str">
        <x:f>IF(C763="","",MIN(D763+E763,$Q$12))</x:f>
      </x:c>
      <x:c r="G763" s="88" t="str">
        <x:f>IF(C763="","",MIN(MAX(0,D763+E763-F763),SUMIFS(SONDERZAHLUNGEN!$E$9:$E$128,SONDERZAHLUNGEN!$B$9:$B$128,C763,SONDERZAHLUNGEN!$C$9:$C$128,A763,SONDERZAHLUNGEN!$H$9:$H$128,"OK",SONDERZAHLUNGEN!$F$9:$F$128,"Ja")))</x:f>
      </x:c>
      <x:c r="H763" s="88" t="str">
        <x:f>IF(C763="","",MIN(MAX(0,D763+E763-F763-G763),MAX(0,IF(MONATSBUDGET!$C$45="",0,MONATSBUDGET!$C$45)-SUM(F760:F779)-SUM(H760:H762))))</x:f>
      </x:c>
      <x:c r="I763" s="88" t="str">
        <x:f>IF(C763="","",MAX(0,ROUND(D763+E763-F763-G763-H763,2)))</x:f>
      </x:c>
      <x:c r="J763" s="88" t="str">
        <x:f>IF(C763="","",F763+G763+H763)</x:f>
      </x:c>
      <x:c r="K763" s="88" t="str">
        <x:f>IF(C763="","",MAX(0,SUMIFS(SONDERZAHLUNGEN!$E$9:$E$128,SONDERZAHLUNGEN!$B$9:$B$128,C763,SONDERZAHLUNGEN!$C$9:$C$128,A763,SONDERZAHLUNGEN!$H$9:$H$128,"OK",SONDERZAHLUNGEN!$F$9:$F$128,"Ja")-G763))</x:f>
      </x:c>
    </x:row>
    <x:row r="764" ht="19" customHeight="1">
      <x:c r="A764" s="90" t="n">
        <x:f>MONATSBUDGET!$A$45</x:f>
        <x:v>47362</x:v>
      </x:c>
      <x:c r="B764" t="n">
        <x:f>5</x:f>
        <x:v>5</x:v>
      </x:c>
      <x:c r="C764" t="str">
        <x:f>IF($N$13="","",$N$13)</x:f>
      </x:c>
      <x:c r="D764" s="88" t="str">
        <x:f>IF(C764="","",I744)</x:f>
      </x:c>
      <x:c r="E764" s="88" t="str">
        <x:f>IF(C764="","",ROUND(D764*$P$13/12,2))</x:f>
      </x:c>
      <x:c r="F764" s="88" t="str">
        <x:f>IF(C764="","",MIN(D764+E764,$Q$13))</x:f>
      </x:c>
      <x:c r="G764" s="88" t="str">
        <x:f>IF(C764="","",MIN(MAX(0,D764+E764-F764),SUMIFS(SONDERZAHLUNGEN!$E$9:$E$128,SONDERZAHLUNGEN!$B$9:$B$128,C764,SONDERZAHLUNGEN!$C$9:$C$128,A764,SONDERZAHLUNGEN!$H$9:$H$128,"OK",SONDERZAHLUNGEN!$F$9:$F$128,"Ja")))</x:f>
      </x:c>
      <x:c r="H764" s="88" t="str">
        <x:f>IF(C764="","",MIN(MAX(0,D764+E764-F764-G764),MAX(0,IF(MONATSBUDGET!$C$45="",0,MONATSBUDGET!$C$45)-SUM(F760:F779)-SUM(H760:H763))))</x:f>
      </x:c>
      <x:c r="I764" s="88" t="str">
        <x:f>IF(C764="","",MAX(0,ROUND(D764+E764-F764-G764-H764,2)))</x:f>
      </x:c>
      <x:c r="J764" s="88" t="str">
        <x:f>IF(C764="","",F764+G764+H764)</x:f>
      </x:c>
      <x:c r="K764" s="88" t="str">
        <x:f>IF(C764="","",MAX(0,SUMIFS(SONDERZAHLUNGEN!$E$9:$E$128,SONDERZAHLUNGEN!$B$9:$B$128,C764,SONDERZAHLUNGEN!$C$9:$C$128,A764,SONDERZAHLUNGEN!$H$9:$H$128,"OK",SONDERZAHLUNGEN!$F$9:$F$128,"Ja")-G764))</x:f>
      </x:c>
    </x:row>
    <x:row r="765" ht="19" customHeight="1">
      <x:c r="A765" s="90" t="n">
        <x:f>MONATSBUDGET!$A$45</x:f>
        <x:v>47362</x:v>
      </x:c>
      <x:c r="B765" t="n">
        <x:f>6</x:f>
        <x:v>6</x:v>
      </x:c>
      <x:c r="C765" t="str">
        <x:f>IF($N$14="","",$N$14)</x:f>
      </x:c>
      <x:c r="D765" s="88" t="str">
        <x:f>IF(C765="","",I745)</x:f>
      </x:c>
      <x:c r="E765" s="88" t="str">
        <x:f>IF(C765="","",ROUND(D765*$P$14/12,2))</x:f>
      </x:c>
      <x:c r="F765" s="88" t="str">
        <x:f>IF(C765="","",MIN(D765+E765,$Q$14))</x:f>
      </x:c>
      <x:c r="G765" s="88" t="str">
        <x:f>IF(C765="","",MIN(MAX(0,D765+E765-F765),SUMIFS(SONDERZAHLUNGEN!$E$9:$E$128,SONDERZAHLUNGEN!$B$9:$B$128,C765,SONDERZAHLUNGEN!$C$9:$C$128,A765,SONDERZAHLUNGEN!$H$9:$H$128,"OK",SONDERZAHLUNGEN!$F$9:$F$128,"Ja")))</x:f>
      </x:c>
      <x:c r="H765" s="88" t="str">
        <x:f>IF(C765="","",MIN(MAX(0,D765+E765-F765-G765),MAX(0,IF(MONATSBUDGET!$C$45="",0,MONATSBUDGET!$C$45)-SUM(F760:F779)-SUM(H760:H764))))</x:f>
      </x:c>
      <x:c r="I765" s="88" t="str">
        <x:f>IF(C765="","",MAX(0,ROUND(D765+E765-F765-G765-H765,2)))</x:f>
      </x:c>
      <x:c r="J765" s="88" t="str">
        <x:f>IF(C765="","",F765+G765+H765)</x:f>
      </x:c>
      <x:c r="K765" s="88" t="str">
        <x:f>IF(C765="","",MAX(0,SUMIFS(SONDERZAHLUNGEN!$E$9:$E$128,SONDERZAHLUNGEN!$B$9:$B$128,C765,SONDERZAHLUNGEN!$C$9:$C$128,A765,SONDERZAHLUNGEN!$H$9:$H$128,"OK",SONDERZAHLUNGEN!$F$9:$F$128,"Ja")-G765))</x:f>
      </x:c>
    </x:row>
    <x:row r="766" ht="19" customHeight="1">
      <x:c r="A766" s="90" t="n">
        <x:f>MONATSBUDGET!$A$45</x:f>
        <x:v>47362</x:v>
      </x:c>
      <x:c r="B766" t="n">
        <x:f>7</x:f>
        <x:v>7</x:v>
      </x:c>
      <x:c r="C766" t="str">
        <x:f>IF($N$15="","",$N$15)</x:f>
      </x:c>
      <x:c r="D766" s="88" t="str">
        <x:f>IF(C766="","",I746)</x:f>
      </x:c>
      <x:c r="E766" s="88" t="str">
        <x:f>IF(C766="","",ROUND(D766*$P$15/12,2))</x:f>
      </x:c>
      <x:c r="F766" s="88" t="str">
        <x:f>IF(C766="","",MIN(D766+E766,$Q$15))</x:f>
      </x:c>
      <x:c r="G766" s="88" t="str">
        <x:f>IF(C766="","",MIN(MAX(0,D766+E766-F766),SUMIFS(SONDERZAHLUNGEN!$E$9:$E$128,SONDERZAHLUNGEN!$B$9:$B$128,C766,SONDERZAHLUNGEN!$C$9:$C$128,A766,SONDERZAHLUNGEN!$H$9:$H$128,"OK",SONDERZAHLUNGEN!$F$9:$F$128,"Ja")))</x:f>
      </x:c>
      <x:c r="H766" s="88" t="str">
        <x:f>IF(C766="","",MIN(MAX(0,D766+E766-F766-G766),MAX(0,IF(MONATSBUDGET!$C$45="",0,MONATSBUDGET!$C$45)-SUM(F760:F779)-SUM(H760:H765))))</x:f>
      </x:c>
      <x:c r="I766" s="88" t="str">
        <x:f>IF(C766="","",MAX(0,ROUND(D766+E766-F766-G766-H766,2)))</x:f>
      </x:c>
      <x:c r="J766" s="88" t="str">
        <x:f>IF(C766="","",F766+G766+H766)</x:f>
      </x:c>
      <x:c r="K766" s="88" t="str">
        <x:f>IF(C766="","",MAX(0,SUMIFS(SONDERZAHLUNGEN!$E$9:$E$128,SONDERZAHLUNGEN!$B$9:$B$128,C766,SONDERZAHLUNGEN!$C$9:$C$128,A766,SONDERZAHLUNGEN!$H$9:$H$128,"OK",SONDERZAHLUNGEN!$F$9:$F$128,"Ja")-G766))</x:f>
      </x:c>
    </x:row>
    <x:row r="767" ht="19" customHeight="1">
      <x:c r="A767" s="90" t="n">
        <x:f>MONATSBUDGET!$A$45</x:f>
        <x:v>47362</x:v>
      </x:c>
      <x:c r="B767" t="n">
        <x:f>8</x:f>
        <x:v>8</x:v>
      </x:c>
      <x:c r="C767" t="str">
        <x:f>IF($N$16="","",$N$16)</x:f>
      </x:c>
      <x:c r="D767" s="88" t="str">
        <x:f>IF(C767="","",I747)</x:f>
      </x:c>
      <x:c r="E767" s="88" t="str">
        <x:f>IF(C767="","",ROUND(D767*$P$16/12,2))</x:f>
      </x:c>
      <x:c r="F767" s="88" t="str">
        <x:f>IF(C767="","",MIN(D767+E767,$Q$16))</x:f>
      </x:c>
      <x:c r="G767" s="88" t="str">
        <x:f>IF(C767="","",MIN(MAX(0,D767+E767-F767),SUMIFS(SONDERZAHLUNGEN!$E$9:$E$128,SONDERZAHLUNGEN!$B$9:$B$128,C767,SONDERZAHLUNGEN!$C$9:$C$128,A767,SONDERZAHLUNGEN!$H$9:$H$128,"OK",SONDERZAHLUNGEN!$F$9:$F$128,"Ja")))</x:f>
      </x:c>
      <x:c r="H767" s="88" t="str">
        <x:f>IF(C767="","",MIN(MAX(0,D767+E767-F767-G767),MAX(0,IF(MONATSBUDGET!$C$45="",0,MONATSBUDGET!$C$45)-SUM(F760:F779)-SUM(H760:H766))))</x:f>
      </x:c>
      <x:c r="I767" s="88" t="str">
        <x:f>IF(C767="","",MAX(0,ROUND(D767+E767-F767-G767-H767,2)))</x:f>
      </x:c>
      <x:c r="J767" s="88" t="str">
        <x:f>IF(C767="","",F767+G767+H767)</x:f>
      </x:c>
      <x:c r="K767" s="88" t="str">
        <x:f>IF(C767="","",MAX(0,SUMIFS(SONDERZAHLUNGEN!$E$9:$E$128,SONDERZAHLUNGEN!$B$9:$B$128,C767,SONDERZAHLUNGEN!$C$9:$C$128,A767,SONDERZAHLUNGEN!$H$9:$H$128,"OK",SONDERZAHLUNGEN!$F$9:$F$128,"Ja")-G767))</x:f>
      </x:c>
    </x:row>
    <x:row r="768" ht="19" customHeight="1">
      <x:c r="A768" s="90" t="n">
        <x:f>MONATSBUDGET!$A$45</x:f>
        <x:v>47362</x:v>
      </x:c>
      <x:c r="B768" t="n">
        <x:f>9</x:f>
        <x:v>9</x:v>
      </x:c>
      <x:c r="C768" t="str">
        <x:f>IF($N$17="","",$N$17)</x:f>
      </x:c>
      <x:c r="D768" s="88" t="str">
        <x:f>IF(C768="","",I748)</x:f>
      </x:c>
      <x:c r="E768" s="88" t="str">
        <x:f>IF(C768="","",ROUND(D768*$P$17/12,2))</x:f>
      </x:c>
      <x:c r="F768" s="88" t="str">
        <x:f>IF(C768="","",MIN(D768+E768,$Q$17))</x:f>
      </x:c>
      <x:c r="G768" s="88" t="str">
        <x:f>IF(C768="","",MIN(MAX(0,D768+E768-F768),SUMIFS(SONDERZAHLUNGEN!$E$9:$E$128,SONDERZAHLUNGEN!$B$9:$B$128,C768,SONDERZAHLUNGEN!$C$9:$C$128,A768,SONDERZAHLUNGEN!$H$9:$H$128,"OK",SONDERZAHLUNGEN!$F$9:$F$128,"Ja")))</x:f>
      </x:c>
      <x:c r="H768" s="88" t="str">
        <x:f>IF(C768="","",MIN(MAX(0,D768+E768-F768-G768),MAX(0,IF(MONATSBUDGET!$C$45="",0,MONATSBUDGET!$C$45)-SUM(F760:F779)-SUM(H760:H767))))</x:f>
      </x:c>
      <x:c r="I768" s="88" t="str">
        <x:f>IF(C768="","",MAX(0,ROUND(D768+E768-F768-G768-H768,2)))</x:f>
      </x:c>
      <x:c r="J768" s="88" t="str">
        <x:f>IF(C768="","",F768+G768+H768)</x:f>
      </x:c>
      <x:c r="K768" s="88" t="str">
        <x:f>IF(C768="","",MAX(0,SUMIFS(SONDERZAHLUNGEN!$E$9:$E$128,SONDERZAHLUNGEN!$B$9:$B$128,C768,SONDERZAHLUNGEN!$C$9:$C$128,A768,SONDERZAHLUNGEN!$H$9:$H$128,"OK",SONDERZAHLUNGEN!$F$9:$F$128,"Ja")-G768))</x:f>
      </x:c>
    </x:row>
    <x:row r="769" ht="19" customHeight="1">
      <x:c r="A769" s="90" t="n">
        <x:f>MONATSBUDGET!$A$45</x:f>
        <x:v>47362</x:v>
      </x:c>
      <x:c r="B769" t="n">
        <x:f>10</x:f>
        <x:v>10</x:v>
      </x:c>
      <x:c r="C769" t="str">
        <x:f>IF($N$18="","",$N$18)</x:f>
      </x:c>
      <x:c r="D769" s="88" t="str">
        <x:f>IF(C769="","",I749)</x:f>
      </x:c>
      <x:c r="E769" s="88" t="str">
        <x:f>IF(C769="","",ROUND(D769*$P$18/12,2))</x:f>
      </x:c>
      <x:c r="F769" s="88" t="str">
        <x:f>IF(C769="","",MIN(D769+E769,$Q$18))</x:f>
      </x:c>
      <x:c r="G769" s="88" t="str">
        <x:f>IF(C769="","",MIN(MAX(0,D769+E769-F769),SUMIFS(SONDERZAHLUNGEN!$E$9:$E$128,SONDERZAHLUNGEN!$B$9:$B$128,C769,SONDERZAHLUNGEN!$C$9:$C$128,A769,SONDERZAHLUNGEN!$H$9:$H$128,"OK",SONDERZAHLUNGEN!$F$9:$F$128,"Ja")))</x:f>
      </x:c>
      <x:c r="H769" s="88" t="str">
        <x:f>IF(C769="","",MIN(MAX(0,D769+E769-F769-G769),MAX(0,IF(MONATSBUDGET!$C$45="",0,MONATSBUDGET!$C$45)-SUM(F760:F779)-SUM(H760:H768))))</x:f>
      </x:c>
      <x:c r="I769" s="88" t="str">
        <x:f>IF(C769="","",MAX(0,ROUND(D769+E769-F769-G769-H769,2)))</x:f>
      </x:c>
      <x:c r="J769" s="88" t="str">
        <x:f>IF(C769="","",F769+G769+H769)</x:f>
      </x:c>
      <x:c r="K769" s="88" t="str">
        <x:f>IF(C769="","",MAX(0,SUMIFS(SONDERZAHLUNGEN!$E$9:$E$128,SONDERZAHLUNGEN!$B$9:$B$128,C769,SONDERZAHLUNGEN!$C$9:$C$128,A769,SONDERZAHLUNGEN!$H$9:$H$128,"OK",SONDERZAHLUNGEN!$F$9:$F$128,"Ja")-G769))</x:f>
      </x:c>
    </x:row>
    <x:row r="770" ht="19" customHeight="1">
      <x:c r="A770" s="90" t="n">
        <x:f>MONATSBUDGET!$A$45</x:f>
        <x:v>47362</x:v>
      </x:c>
      <x:c r="B770" t="n">
        <x:f>11</x:f>
        <x:v>11</x:v>
      </x:c>
      <x:c r="C770" t="str">
        <x:f>IF($N$19="","",$N$19)</x:f>
      </x:c>
      <x:c r="D770" s="88" t="str">
        <x:f>IF(C770="","",I750)</x:f>
      </x:c>
      <x:c r="E770" s="88" t="str">
        <x:f>IF(C770="","",ROUND(D770*$P$19/12,2))</x:f>
      </x:c>
      <x:c r="F770" s="88" t="str">
        <x:f>IF(C770="","",MIN(D770+E770,$Q$19))</x:f>
      </x:c>
      <x:c r="G770" s="88" t="str">
        <x:f>IF(C770="","",MIN(MAX(0,D770+E770-F770),SUMIFS(SONDERZAHLUNGEN!$E$9:$E$128,SONDERZAHLUNGEN!$B$9:$B$128,C770,SONDERZAHLUNGEN!$C$9:$C$128,A770,SONDERZAHLUNGEN!$H$9:$H$128,"OK",SONDERZAHLUNGEN!$F$9:$F$128,"Ja")))</x:f>
      </x:c>
      <x:c r="H770" s="88" t="str">
        <x:f>IF(C770="","",MIN(MAX(0,D770+E770-F770-G770),MAX(0,IF(MONATSBUDGET!$C$45="",0,MONATSBUDGET!$C$45)-SUM(F760:F779)-SUM(H760:H769))))</x:f>
      </x:c>
      <x:c r="I770" s="88" t="str">
        <x:f>IF(C770="","",MAX(0,ROUND(D770+E770-F770-G770-H770,2)))</x:f>
      </x:c>
      <x:c r="J770" s="88" t="str">
        <x:f>IF(C770="","",F770+G770+H770)</x:f>
      </x:c>
      <x:c r="K770" s="88" t="str">
        <x:f>IF(C770="","",MAX(0,SUMIFS(SONDERZAHLUNGEN!$E$9:$E$128,SONDERZAHLUNGEN!$B$9:$B$128,C770,SONDERZAHLUNGEN!$C$9:$C$128,A770,SONDERZAHLUNGEN!$H$9:$H$128,"OK",SONDERZAHLUNGEN!$F$9:$F$128,"Ja")-G770))</x:f>
      </x:c>
    </x:row>
    <x:row r="771" ht="19" customHeight="1">
      <x:c r="A771" s="90" t="n">
        <x:f>MONATSBUDGET!$A$45</x:f>
        <x:v>47362</x:v>
      </x:c>
      <x:c r="B771" t="n">
        <x:f>12</x:f>
        <x:v>12</x:v>
      </x:c>
      <x:c r="C771" t="str">
        <x:f>IF($N$20="","",$N$20)</x:f>
      </x:c>
      <x:c r="D771" s="88" t="str">
        <x:f>IF(C771="","",I751)</x:f>
      </x:c>
      <x:c r="E771" s="88" t="str">
        <x:f>IF(C771="","",ROUND(D771*$P$20/12,2))</x:f>
      </x:c>
      <x:c r="F771" s="88" t="str">
        <x:f>IF(C771="","",MIN(D771+E771,$Q$20))</x:f>
      </x:c>
      <x:c r="G771" s="88" t="str">
        <x:f>IF(C771="","",MIN(MAX(0,D771+E771-F771),SUMIFS(SONDERZAHLUNGEN!$E$9:$E$128,SONDERZAHLUNGEN!$B$9:$B$128,C771,SONDERZAHLUNGEN!$C$9:$C$128,A771,SONDERZAHLUNGEN!$H$9:$H$128,"OK",SONDERZAHLUNGEN!$F$9:$F$128,"Ja")))</x:f>
      </x:c>
      <x:c r="H771" s="88" t="str">
        <x:f>IF(C771="","",MIN(MAX(0,D771+E771-F771-G771),MAX(0,IF(MONATSBUDGET!$C$45="",0,MONATSBUDGET!$C$45)-SUM(F760:F779)-SUM(H760:H770))))</x:f>
      </x:c>
      <x:c r="I771" s="88" t="str">
        <x:f>IF(C771="","",MAX(0,ROUND(D771+E771-F771-G771-H771,2)))</x:f>
      </x:c>
      <x:c r="J771" s="88" t="str">
        <x:f>IF(C771="","",F771+G771+H771)</x:f>
      </x:c>
      <x:c r="K771" s="88" t="str">
        <x:f>IF(C771="","",MAX(0,SUMIFS(SONDERZAHLUNGEN!$E$9:$E$128,SONDERZAHLUNGEN!$B$9:$B$128,C771,SONDERZAHLUNGEN!$C$9:$C$128,A771,SONDERZAHLUNGEN!$H$9:$H$128,"OK",SONDERZAHLUNGEN!$F$9:$F$128,"Ja")-G771))</x:f>
      </x:c>
    </x:row>
    <x:row r="772" ht="19" customHeight="1">
      <x:c r="A772" s="90" t="n">
        <x:f>MONATSBUDGET!$A$45</x:f>
        <x:v>47362</x:v>
      </x:c>
      <x:c r="B772" t="n">
        <x:f>13</x:f>
        <x:v>13</x:v>
      </x:c>
      <x:c r="C772" t="str">
        <x:f>IF($N$21="","",$N$21)</x:f>
      </x:c>
      <x:c r="D772" s="88" t="str">
        <x:f>IF(C772="","",I752)</x:f>
      </x:c>
      <x:c r="E772" s="88" t="str">
        <x:f>IF(C772="","",ROUND(D772*$P$21/12,2))</x:f>
      </x:c>
      <x:c r="F772" s="88" t="str">
        <x:f>IF(C772="","",MIN(D772+E772,$Q$21))</x:f>
      </x:c>
      <x:c r="G772" s="88" t="str">
        <x:f>IF(C772="","",MIN(MAX(0,D772+E772-F772),SUMIFS(SONDERZAHLUNGEN!$E$9:$E$128,SONDERZAHLUNGEN!$B$9:$B$128,C772,SONDERZAHLUNGEN!$C$9:$C$128,A772,SONDERZAHLUNGEN!$H$9:$H$128,"OK",SONDERZAHLUNGEN!$F$9:$F$128,"Ja")))</x:f>
      </x:c>
      <x:c r="H772" s="88" t="str">
        <x:f>IF(C772="","",MIN(MAX(0,D772+E772-F772-G772),MAX(0,IF(MONATSBUDGET!$C$45="",0,MONATSBUDGET!$C$45)-SUM(F760:F779)-SUM(H760:H771))))</x:f>
      </x:c>
      <x:c r="I772" s="88" t="str">
        <x:f>IF(C772="","",MAX(0,ROUND(D772+E772-F772-G772-H772,2)))</x:f>
      </x:c>
      <x:c r="J772" s="88" t="str">
        <x:f>IF(C772="","",F772+G772+H772)</x:f>
      </x:c>
      <x:c r="K772" s="88" t="str">
        <x:f>IF(C772="","",MAX(0,SUMIFS(SONDERZAHLUNGEN!$E$9:$E$128,SONDERZAHLUNGEN!$B$9:$B$128,C772,SONDERZAHLUNGEN!$C$9:$C$128,A772,SONDERZAHLUNGEN!$H$9:$H$128,"OK",SONDERZAHLUNGEN!$F$9:$F$128,"Ja")-G772))</x:f>
      </x:c>
    </x:row>
    <x:row r="773" ht="19" customHeight="1">
      <x:c r="A773" s="90" t="n">
        <x:f>MONATSBUDGET!$A$45</x:f>
        <x:v>47362</x:v>
      </x:c>
      <x:c r="B773" t="n">
        <x:f>14</x:f>
        <x:v>14</x:v>
      </x:c>
      <x:c r="C773" t="str">
        <x:f>IF($N$22="","",$N$22)</x:f>
      </x:c>
      <x:c r="D773" s="88" t="str">
        <x:f>IF(C773="","",I753)</x:f>
      </x:c>
      <x:c r="E773" s="88" t="str">
        <x:f>IF(C773="","",ROUND(D773*$P$22/12,2))</x:f>
      </x:c>
      <x:c r="F773" s="88" t="str">
        <x:f>IF(C773="","",MIN(D773+E773,$Q$22))</x:f>
      </x:c>
      <x:c r="G773" s="88" t="str">
        <x:f>IF(C773="","",MIN(MAX(0,D773+E773-F773),SUMIFS(SONDERZAHLUNGEN!$E$9:$E$128,SONDERZAHLUNGEN!$B$9:$B$128,C773,SONDERZAHLUNGEN!$C$9:$C$128,A773,SONDERZAHLUNGEN!$H$9:$H$128,"OK",SONDERZAHLUNGEN!$F$9:$F$128,"Ja")))</x:f>
      </x:c>
      <x:c r="H773" s="88" t="str">
        <x:f>IF(C773="","",MIN(MAX(0,D773+E773-F773-G773),MAX(0,IF(MONATSBUDGET!$C$45="",0,MONATSBUDGET!$C$45)-SUM(F760:F779)-SUM(H760:H772))))</x:f>
      </x:c>
      <x:c r="I773" s="88" t="str">
        <x:f>IF(C773="","",MAX(0,ROUND(D773+E773-F773-G773-H773,2)))</x:f>
      </x:c>
      <x:c r="J773" s="88" t="str">
        <x:f>IF(C773="","",F773+G773+H773)</x:f>
      </x:c>
      <x:c r="K773" s="88" t="str">
        <x:f>IF(C773="","",MAX(0,SUMIFS(SONDERZAHLUNGEN!$E$9:$E$128,SONDERZAHLUNGEN!$B$9:$B$128,C773,SONDERZAHLUNGEN!$C$9:$C$128,A773,SONDERZAHLUNGEN!$H$9:$H$128,"OK",SONDERZAHLUNGEN!$F$9:$F$128,"Ja")-G773))</x:f>
      </x:c>
    </x:row>
    <x:row r="774" ht="19" customHeight="1">
      <x:c r="A774" s="90" t="n">
        <x:f>MONATSBUDGET!$A$45</x:f>
        <x:v>47362</x:v>
      </x:c>
      <x:c r="B774" t="n">
        <x:f>15</x:f>
        <x:v>15</x:v>
      </x:c>
      <x:c r="C774" t="str">
        <x:f>IF($N$23="","",$N$23)</x:f>
      </x:c>
      <x:c r="D774" s="88" t="str">
        <x:f>IF(C774="","",I754)</x:f>
      </x:c>
      <x:c r="E774" s="88" t="str">
        <x:f>IF(C774="","",ROUND(D774*$P$23/12,2))</x:f>
      </x:c>
      <x:c r="F774" s="88" t="str">
        <x:f>IF(C774="","",MIN(D774+E774,$Q$23))</x:f>
      </x:c>
      <x:c r="G774" s="88" t="str">
        <x:f>IF(C774="","",MIN(MAX(0,D774+E774-F774),SUMIFS(SONDERZAHLUNGEN!$E$9:$E$128,SONDERZAHLUNGEN!$B$9:$B$128,C774,SONDERZAHLUNGEN!$C$9:$C$128,A774,SONDERZAHLUNGEN!$H$9:$H$128,"OK",SONDERZAHLUNGEN!$F$9:$F$128,"Ja")))</x:f>
      </x:c>
      <x:c r="H774" s="88" t="str">
        <x:f>IF(C774="","",MIN(MAX(0,D774+E774-F774-G774),MAX(0,IF(MONATSBUDGET!$C$45="",0,MONATSBUDGET!$C$45)-SUM(F760:F779)-SUM(H760:H773))))</x:f>
      </x:c>
      <x:c r="I774" s="88" t="str">
        <x:f>IF(C774="","",MAX(0,ROUND(D774+E774-F774-G774-H774,2)))</x:f>
      </x:c>
      <x:c r="J774" s="88" t="str">
        <x:f>IF(C774="","",F774+G774+H774)</x:f>
      </x:c>
      <x:c r="K774" s="88" t="str">
        <x:f>IF(C774="","",MAX(0,SUMIFS(SONDERZAHLUNGEN!$E$9:$E$128,SONDERZAHLUNGEN!$B$9:$B$128,C774,SONDERZAHLUNGEN!$C$9:$C$128,A774,SONDERZAHLUNGEN!$H$9:$H$128,"OK",SONDERZAHLUNGEN!$F$9:$F$128,"Ja")-G774))</x:f>
      </x:c>
    </x:row>
    <x:row r="775" ht="19" customHeight="1">
      <x:c r="A775" s="90" t="n">
        <x:f>MONATSBUDGET!$A$45</x:f>
        <x:v>47362</x:v>
      </x:c>
      <x:c r="B775" t="n">
        <x:f>16</x:f>
        <x:v>16</x:v>
      </x:c>
      <x:c r="C775" t="str">
        <x:f>IF($N$24="","",$N$24)</x:f>
      </x:c>
      <x:c r="D775" s="88" t="str">
        <x:f>IF(C775="","",I755)</x:f>
      </x:c>
      <x:c r="E775" s="88" t="str">
        <x:f>IF(C775="","",ROUND(D775*$P$24/12,2))</x:f>
      </x:c>
      <x:c r="F775" s="88" t="str">
        <x:f>IF(C775="","",MIN(D775+E775,$Q$24))</x:f>
      </x:c>
      <x:c r="G775" s="88" t="str">
        <x:f>IF(C775="","",MIN(MAX(0,D775+E775-F775),SUMIFS(SONDERZAHLUNGEN!$E$9:$E$128,SONDERZAHLUNGEN!$B$9:$B$128,C775,SONDERZAHLUNGEN!$C$9:$C$128,A775,SONDERZAHLUNGEN!$H$9:$H$128,"OK",SONDERZAHLUNGEN!$F$9:$F$128,"Ja")))</x:f>
      </x:c>
      <x:c r="H775" s="88" t="str">
        <x:f>IF(C775="","",MIN(MAX(0,D775+E775-F775-G775),MAX(0,IF(MONATSBUDGET!$C$45="",0,MONATSBUDGET!$C$45)-SUM(F760:F779)-SUM(H760:H774))))</x:f>
      </x:c>
      <x:c r="I775" s="88" t="str">
        <x:f>IF(C775="","",MAX(0,ROUND(D775+E775-F775-G775-H775,2)))</x:f>
      </x:c>
      <x:c r="J775" s="88" t="str">
        <x:f>IF(C775="","",F775+G775+H775)</x:f>
      </x:c>
      <x:c r="K775" s="88" t="str">
        <x:f>IF(C775="","",MAX(0,SUMIFS(SONDERZAHLUNGEN!$E$9:$E$128,SONDERZAHLUNGEN!$B$9:$B$128,C775,SONDERZAHLUNGEN!$C$9:$C$128,A775,SONDERZAHLUNGEN!$H$9:$H$128,"OK",SONDERZAHLUNGEN!$F$9:$F$128,"Ja")-G775))</x:f>
      </x:c>
    </x:row>
    <x:row r="776" ht="19" customHeight="1">
      <x:c r="A776" s="90" t="n">
        <x:f>MONATSBUDGET!$A$45</x:f>
        <x:v>47362</x:v>
      </x:c>
      <x:c r="B776" t="n">
        <x:f>17</x:f>
        <x:v>17</x:v>
      </x:c>
      <x:c r="C776" t="str">
        <x:f>IF($N$25="","",$N$25)</x:f>
      </x:c>
      <x:c r="D776" s="88" t="str">
        <x:f>IF(C776="","",I756)</x:f>
      </x:c>
      <x:c r="E776" s="88" t="str">
        <x:f>IF(C776="","",ROUND(D776*$P$25/12,2))</x:f>
      </x:c>
      <x:c r="F776" s="88" t="str">
        <x:f>IF(C776="","",MIN(D776+E776,$Q$25))</x:f>
      </x:c>
      <x:c r="G776" s="88" t="str">
        <x:f>IF(C776="","",MIN(MAX(0,D776+E776-F776),SUMIFS(SONDERZAHLUNGEN!$E$9:$E$128,SONDERZAHLUNGEN!$B$9:$B$128,C776,SONDERZAHLUNGEN!$C$9:$C$128,A776,SONDERZAHLUNGEN!$H$9:$H$128,"OK",SONDERZAHLUNGEN!$F$9:$F$128,"Ja")))</x:f>
      </x:c>
      <x:c r="H776" s="88" t="str">
        <x:f>IF(C776="","",MIN(MAX(0,D776+E776-F776-G776),MAX(0,IF(MONATSBUDGET!$C$45="",0,MONATSBUDGET!$C$45)-SUM(F760:F779)-SUM(H760:H775))))</x:f>
      </x:c>
      <x:c r="I776" s="88" t="str">
        <x:f>IF(C776="","",MAX(0,ROUND(D776+E776-F776-G776-H776,2)))</x:f>
      </x:c>
      <x:c r="J776" s="88" t="str">
        <x:f>IF(C776="","",F776+G776+H776)</x:f>
      </x:c>
      <x:c r="K776" s="88" t="str">
        <x:f>IF(C776="","",MAX(0,SUMIFS(SONDERZAHLUNGEN!$E$9:$E$128,SONDERZAHLUNGEN!$B$9:$B$128,C776,SONDERZAHLUNGEN!$C$9:$C$128,A776,SONDERZAHLUNGEN!$H$9:$H$128,"OK",SONDERZAHLUNGEN!$F$9:$F$128,"Ja")-G776))</x:f>
      </x:c>
    </x:row>
    <x:row r="777" ht="19" customHeight="1">
      <x:c r="A777" s="90" t="n">
        <x:f>MONATSBUDGET!$A$45</x:f>
        <x:v>47362</x:v>
      </x:c>
      <x:c r="B777" t="n">
        <x:f>18</x:f>
        <x:v>18</x:v>
      </x:c>
      <x:c r="C777" t="str">
        <x:f>IF($N$26="","",$N$26)</x:f>
      </x:c>
      <x:c r="D777" s="88" t="str">
        <x:f>IF(C777="","",I757)</x:f>
      </x:c>
      <x:c r="E777" s="88" t="str">
        <x:f>IF(C777="","",ROUND(D777*$P$26/12,2))</x:f>
      </x:c>
      <x:c r="F777" s="88" t="str">
        <x:f>IF(C777="","",MIN(D777+E777,$Q$26))</x:f>
      </x:c>
      <x:c r="G777" s="88" t="str">
        <x:f>IF(C777="","",MIN(MAX(0,D777+E777-F777),SUMIFS(SONDERZAHLUNGEN!$E$9:$E$128,SONDERZAHLUNGEN!$B$9:$B$128,C777,SONDERZAHLUNGEN!$C$9:$C$128,A777,SONDERZAHLUNGEN!$H$9:$H$128,"OK",SONDERZAHLUNGEN!$F$9:$F$128,"Ja")))</x:f>
      </x:c>
      <x:c r="H777" s="88" t="str">
        <x:f>IF(C777="","",MIN(MAX(0,D777+E777-F777-G777),MAX(0,IF(MONATSBUDGET!$C$45="",0,MONATSBUDGET!$C$45)-SUM(F760:F779)-SUM(H760:H776))))</x:f>
      </x:c>
      <x:c r="I777" s="88" t="str">
        <x:f>IF(C777="","",MAX(0,ROUND(D777+E777-F777-G777-H777,2)))</x:f>
      </x:c>
      <x:c r="J777" s="88" t="str">
        <x:f>IF(C777="","",F777+G777+H777)</x:f>
      </x:c>
      <x:c r="K777" s="88" t="str">
        <x:f>IF(C777="","",MAX(0,SUMIFS(SONDERZAHLUNGEN!$E$9:$E$128,SONDERZAHLUNGEN!$B$9:$B$128,C777,SONDERZAHLUNGEN!$C$9:$C$128,A777,SONDERZAHLUNGEN!$H$9:$H$128,"OK",SONDERZAHLUNGEN!$F$9:$F$128,"Ja")-G777))</x:f>
      </x:c>
    </x:row>
    <x:row r="778" ht="19" customHeight="1">
      <x:c r="A778" s="90" t="n">
        <x:f>MONATSBUDGET!$A$45</x:f>
        <x:v>47362</x:v>
      </x:c>
      <x:c r="B778" t="n">
        <x:f>19</x:f>
        <x:v>19</x:v>
      </x:c>
      <x:c r="C778" t="str">
        <x:f>IF($N$27="","",$N$27)</x:f>
      </x:c>
      <x:c r="D778" s="88" t="str">
        <x:f>IF(C778="","",I758)</x:f>
      </x:c>
      <x:c r="E778" s="88" t="str">
        <x:f>IF(C778="","",ROUND(D778*$P$27/12,2))</x:f>
      </x:c>
      <x:c r="F778" s="88" t="str">
        <x:f>IF(C778="","",MIN(D778+E778,$Q$27))</x:f>
      </x:c>
      <x:c r="G778" s="88" t="str">
        <x:f>IF(C778="","",MIN(MAX(0,D778+E778-F778),SUMIFS(SONDERZAHLUNGEN!$E$9:$E$128,SONDERZAHLUNGEN!$B$9:$B$128,C778,SONDERZAHLUNGEN!$C$9:$C$128,A778,SONDERZAHLUNGEN!$H$9:$H$128,"OK",SONDERZAHLUNGEN!$F$9:$F$128,"Ja")))</x:f>
      </x:c>
      <x:c r="H778" s="88" t="str">
        <x:f>IF(C778="","",MIN(MAX(0,D778+E778-F778-G778),MAX(0,IF(MONATSBUDGET!$C$45="",0,MONATSBUDGET!$C$45)-SUM(F760:F779)-SUM(H760:H777))))</x:f>
      </x:c>
      <x:c r="I778" s="88" t="str">
        <x:f>IF(C778="","",MAX(0,ROUND(D778+E778-F778-G778-H778,2)))</x:f>
      </x:c>
      <x:c r="J778" s="88" t="str">
        <x:f>IF(C778="","",F778+G778+H778)</x:f>
      </x:c>
      <x:c r="K778" s="88" t="str">
        <x:f>IF(C778="","",MAX(0,SUMIFS(SONDERZAHLUNGEN!$E$9:$E$128,SONDERZAHLUNGEN!$B$9:$B$128,C778,SONDERZAHLUNGEN!$C$9:$C$128,A778,SONDERZAHLUNGEN!$H$9:$H$128,"OK",SONDERZAHLUNGEN!$F$9:$F$128,"Ja")-G778))</x:f>
      </x:c>
    </x:row>
    <x:row r="779" ht="19" customHeight="1">
      <x:c r="A779" s="90" t="n">
        <x:f>MONATSBUDGET!$A$45</x:f>
        <x:v>47362</x:v>
      </x:c>
      <x:c r="B779" t="n">
        <x:f>20</x:f>
        <x:v>20</x:v>
      </x:c>
      <x:c r="C779" t="str">
        <x:f>IF($N$28="","",$N$28)</x:f>
      </x:c>
      <x:c r="D779" s="88" t="str">
        <x:f>IF(C779="","",I759)</x:f>
      </x:c>
      <x:c r="E779" s="88" t="str">
        <x:f>IF(C779="","",ROUND(D779*$P$28/12,2))</x:f>
      </x:c>
      <x:c r="F779" s="88" t="str">
        <x:f>IF(C779="","",MIN(D779+E779,$Q$28))</x:f>
      </x:c>
      <x:c r="G779" s="88" t="str">
        <x:f>IF(C779="","",MIN(MAX(0,D779+E779-F779),SUMIFS(SONDERZAHLUNGEN!$E$9:$E$128,SONDERZAHLUNGEN!$B$9:$B$128,C779,SONDERZAHLUNGEN!$C$9:$C$128,A779,SONDERZAHLUNGEN!$H$9:$H$128,"OK",SONDERZAHLUNGEN!$F$9:$F$128,"Ja")))</x:f>
      </x:c>
      <x:c r="H779" s="88" t="str">
        <x:f>IF(C779="","",MIN(MAX(0,D779+E779-F779-G779),MAX(0,IF(MONATSBUDGET!$C$45="",0,MONATSBUDGET!$C$45)-SUM(F760:F779)-SUM(H760:H778))))</x:f>
      </x:c>
      <x:c r="I779" s="88" t="str">
        <x:f>IF(C779="","",MAX(0,ROUND(D779+E779-F779-G779-H779,2)))</x:f>
      </x:c>
      <x:c r="J779" s="88" t="str">
        <x:f>IF(C779="","",F779+G779+H779)</x:f>
      </x:c>
      <x:c r="K779" s="88" t="str">
        <x:f>IF(C779="","",MAX(0,SUMIFS(SONDERZAHLUNGEN!$E$9:$E$128,SONDERZAHLUNGEN!$B$9:$B$128,C779,SONDERZAHLUNGEN!$C$9:$C$128,A779,SONDERZAHLUNGEN!$H$9:$H$128,"OK",SONDERZAHLUNGEN!$F$9:$F$128,"Ja")-G779))</x:f>
      </x:c>
    </x:row>
    <x:row r="780" ht="19" customHeight="1">
      <x:c r="A780" s="90" t="n">
        <x:f>MONATSBUDGET!$A$46</x:f>
        <x:v>47392</x:v>
      </x:c>
      <x:c r="B780" t="n">
        <x:f>1</x:f>
        <x:v>1</x:v>
      </x:c>
      <x:c r="C780" t="str">
        <x:f>IF($N$9="","",$N$9)</x:f>
      </x:c>
      <x:c r="D780" s="88" t="str">
        <x:f>IF(C780="","",I760)</x:f>
      </x:c>
      <x:c r="E780" s="88" t="str">
        <x:f>IF(C780="","",ROUND(D780*$P$9/12,2))</x:f>
      </x:c>
      <x:c r="F780" s="88" t="str">
        <x:f>IF(C780="","",MIN(D780+E780,$Q$9))</x:f>
      </x:c>
      <x:c r="G780" s="88" t="str">
        <x:f>IF(C780="","",MIN(MAX(0,D780+E780-F780),SUMIFS(SONDERZAHLUNGEN!$E$9:$E$128,SONDERZAHLUNGEN!$B$9:$B$128,C780,SONDERZAHLUNGEN!$C$9:$C$128,A780,SONDERZAHLUNGEN!$H$9:$H$128,"OK",SONDERZAHLUNGEN!$F$9:$F$128,"Ja")))</x:f>
      </x:c>
      <x:c r="H780" s="88" t="str">
        <x:f>IF(C780="","",MIN(MAX(0,D780+E780-F780-G780),MAX(0,IF(MONATSBUDGET!$C$46="",0,MONATSBUDGET!$C$46)-SUM(F780:F799)-0)))</x:f>
      </x:c>
      <x:c r="I780" s="88" t="str">
        <x:f>IF(C780="","",MAX(0,ROUND(D780+E780-F780-G780-H780,2)))</x:f>
      </x:c>
      <x:c r="J780" s="88" t="str">
        <x:f>IF(C780="","",F780+G780+H780)</x:f>
      </x:c>
      <x:c r="K780" s="88" t="str">
        <x:f>IF(C780="","",MAX(0,SUMIFS(SONDERZAHLUNGEN!$E$9:$E$128,SONDERZAHLUNGEN!$B$9:$B$128,C780,SONDERZAHLUNGEN!$C$9:$C$128,A780,SONDERZAHLUNGEN!$H$9:$H$128,"OK",SONDERZAHLUNGEN!$F$9:$F$128,"Ja")-G780))</x:f>
      </x:c>
    </x:row>
    <x:row r="781" ht="19" customHeight="1">
      <x:c r="A781" s="90" t="n">
        <x:f>MONATSBUDGET!$A$46</x:f>
        <x:v>47392</x:v>
      </x:c>
      <x:c r="B781" t="n">
        <x:f>2</x:f>
        <x:v>2</x:v>
      </x:c>
      <x:c r="C781" t="str">
        <x:f>IF($N$10="","",$N$10)</x:f>
      </x:c>
      <x:c r="D781" s="88" t="str">
        <x:f>IF(C781="","",I761)</x:f>
      </x:c>
      <x:c r="E781" s="88" t="str">
        <x:f>IF(C781="","",ROUND(D781*$P$10/12,2))</x:f>
      </x:c>
      <x:c r="F781" s="88" t="str">
        <x:f>IF(C781="","",MIN(D781+E781,$Q$10))</x:f>
      </x:c>
      <x:c r="G781" s="88" t="str">
        <x:f>IF(C781="","",MIN(MAX(0,D781+E781-F781),SUMIFS(SONDERZAHLUNGEN!$E$9:$E$128,SONDERZAHLUNGEN!$B$9:$B$128,C781,SONDERZAHLUNGEN!$C$9:$C$128,A781,SONDERZAHLUNGEN!$H$9:$H$128,"OK",SONDERZAHLUNGEN!$F$9:$F$128,"Ja")))</x:f>
      </x:c>
      <x:c r="H781" s="88" t="str">
        <x:f>IF(C781="","",MIN(MAX(0,D781+E781-F781-G781),MAX(0,IF(MONATSBUDGET!$C$46="",0,MONATSBUDGET!$C$46)-SUM(F780:F799)-SUM(H780:H780))))</x:f>
      </x:c>
      <x:c r="I781" s="88" t="str">
        <x:f>IF(C781="","",MAX(0,ROUND(D781+E781-F781-G781-H781,2)))</x:f>
      </x:c>
      <x:c r="J781" s="88" t="str">
        <x:f>IF(C781="","",F781+G781+H781)</x:f>
      </x:c>
      <x:c r="K781" s="88" t="str">
        <x:f>IF(C781="","",MAX(0,SUMIFS(SONDERZAHLUNGEN!$E$9:$E$128,SONDERZAHLUNGEN!$B$9:$B$128,C781,SONDERZAHLUNGEN!$C$9:$C$128,A781,SONDERZAHLUNGEN!$H$9:$H$128,"OK",SONDERZAHLUNGEN!$F$9:$F$128,"Ja")-G781))</x:f>
      </x:c>
    </x:row>
    <x:row r="782" ht="19" customHeight="1">
      <x:c r="A782" s="90" t="n">
        <x:f>MONATSBUDGET!$A$46</x:f>
        <x:v>47392</x:v>
      </x:c>
      <x:c r="B782" t="n">
        <x:f>3</x:f>
        <x:v>3</x:v>
      </x:c>
      <x:c r="C782" t="str">
        <x:f>IF($N$11="","",$N$11)</x:f>
      </x:c>
      <x:c r="D782" s="88" t="str">
        <x:f>IF(C782="","",I762)</x:f>
      </x:c>
      <x:c r="E782" s="88" t="str">
        <x:f>IF(C782="","",ROUND(D782*$P$11/12,2))</x:f>
      </x:c>
      <x:c r="F782" s="88" t="str">
        <x:f>IF(C782="","",MIN(D782+E782,$Q$11))</x:f>
      </x:c>
      <x:c r="G782" s="88" t="str">
        <x:f>IF(C782="","",MIN(MAX(0,D782+E782-F782),SUMIFS(SONDERZAHLUNGEN!$E$9:$E$128,SONDERZAHLUNGEN!$B$9:$B$128,C782,SONDERZAHLUNGEN!$C$9:$C$128,A782,SONDERZAHLUNGEN!$H$9:$H$128,"OK",SONDERZAHLUNGEN!$F$9:$F$128,"Ja")))</x:f>
      </x:c>
      <x:c r="H782" s="88" t="str">
        <x:f>IF(C782="","",MIN(MAX(0,D782+E782-F782-G782),MAX(0,IF(MONATSBUDGET!$C$46="",0,MONATSBUDGET!$C$46)-SUM(F780:F799)-SUM(H780:H781))))</x:f>
      </x:c>
      <x:c r="I782" s="88" t="str">
        <x:f>IF(C782="","",MAX(0,ROUND(D782+E782-F782-G782-H782,2)))</x:f>
      </x:c>
      <x:c r="J782" s="88" t="str">
        <x:f>IF(C782="","",F782+G782+H782)</x:f>
      </x:c>
      <x:c r="K782" s="88" t="str">
        <x:f>IF(C782="","",MAX(0,SUMIFS(SONDERZAHLUNGEN!$E$9:$E$128,SONDERZAHLUNGEN!$B$9:$B$128,C782,SONDERZAHLUNGEN!$C$9:$C$128,A782,SONDERZAHLUNGEN!$H$9:$H$128,"OK",SONDERZAHLUNGEN!$F$9:$F$128,"Ja")-G782))</x:f>
      </x:c>
    </x:row>
    <x:row r="783" ht="19" customHeight="1">
      <x:c r="A783" s="90" t="n">
        <x:f>MONATSBUDGET!$A$46</x:f>
        <x:v>47392</x:v>
      </x:c>
      <x:c r="B783" t="n">
        <x:f>4</x:f>
        <x:v>4</x:v>
      </x:c>
      <x:c r="C783" t="str">
        <x:f>IF($N$12="","",$N$12)</x:f>
      </x:c>
      <x:c r="D783" s="88" t="str">
        <x:f>IF(C783="","",I763)</x:f>
      </x:c>
      <x:c r="E783" s="88" t="str">
        <x:f>IF(C783="","",ROUND(D783*$P$12/12,2))</x:f>
      </x:c>
      <x:c r="F783" s="88" t="str">
        <x:f>IF(C783="","",MIN(D783+E783,$Q$12))</x:f>
      </x:c>
      <x:c r="G783" s="88" t="str">
        <x:f>IF(C783="","",MIN(MAX(0,D783+E783-F783),SUMIFS(SONDERZAHLUNGEN!$E$9:$E$128,SONDERZAHLUNGEN!$B$9:$B$128,C783,SONDERZAHLUNGEN!$C$9:$C$128,A783,SONDERZAHLUNGEN!$H$9:$H$128,"OK",SONDERZAHLUNGEN!$F$9:$F$128,"Ja")))</x:f>
      </x:c>
      <x:c r="H783" s="88" t="str">
        <x:f>IF(C783="","",MIN(MAX(0,D783+E783-F783-G783),MAX(0,IF(MONATSBUDGET!$C$46="",0,MONATSBUDGET!$C$46)-SUM(F780:F799)-SUM(H780:H782))))</x:f>
      </x:c>
      <x:c r="I783" s="88" t="str">
        <x:f>IF(C783="","",MAX(0,ROUND(D783+E783-F783-G783-H783,2)))</x:f>
      </x:c>
      <x:c r="J783" s="88" t="str">
        <x:f>IF(C783="","",F783+G783+H783)</x:f>
      </x:c>
      <x:c r="K783" s="88" t="str">
        <x:f>IF(C783="","",MAX(0,SUMIFS(SONDERZAHLUNGEN!$E$9:$E$128,SONDERZAHLUNGEN!$B$9:$B$128,C783,SONDERZAHLUNGEN!$C$9:$C$128,A783,SONDERZAHLUNGEN!$H$9:$H$128,"OK",SONDERZAHLUNGEN!$F$9:$F$128,"Ja")-G783))</x:f>
      </x:c>
    </x:row>
    <x:row r="784" ht="19" customHeight="1">
      <x:c r="A784" s="90" t="n">
        <x:f>MONATSBUDGET!$A$46</x:f>
        <x:v>47392</x:v>
      </x:c>
      <x:c r="B784" t="n">
        <x:f>5</x:f>
        <x:v>5</x:v>
      </x:c>
      <x:c r="C784" t="str">
        <x:f>IF($N$13="","",$N$13)</x:f>
      </x:c>
      <x:c r="D784" s="88" t="str">
        <x:f>IF(C784="","",I764)</x:f>
      </x:c>
      <x:c r="E784" s="88" t="str">
        <x:f>IF(C784="","",ROUND(D784*$P$13/12,2))</x:f>
      </x:c>
      <x:c r="F784" s="88" t="str">
        <x:f>IF(C784="","",MIN(D784+E784,$Q$13))</x:f>
      </x:c>
      <x:c r="G784" s="88" t="str">
        <x:f>IF(C784="","",MIN(MAX(0,D784+E784-F784),SUMIFS(SONDERZAHLUNGEN!$E$9:$E$128,SONDERZAHLUNGEN!$B$9:$B$128,C784,SONDERZAHLUNGEN!$C$9:$C$128,A784,SONDERZAHLUNGEN!$H$9:$H$128,"OK",SONDERZAHLUNGEN!$F$9:$F$128,"Ja")))</x:f>
      </x:c>
      <x:c r="H784" s="88" t="str">
        <x:f>IF(C784="","",MIN(MAX(0,D784+E784-F784-G784),MAX(0,IF(MONATSBUDGET!$C$46="",0,MONATSBUDGET!$C$46)-SUM(F780:F799)-SUM(H780:H783))))</x:f>
      </x:c>
      <x:c r="I784" s="88" t="str">
        <x:f>IF(C784="","",MAX(0,ROUND(D784+E784-F784-G784-H784,2)))</x:f>
      </x:c>
      <x:c r="J784" s="88" t="str">
        <x:f>IF(C784="","",F784+G784+H784)</x:f>
      </x:c>
      <x:c r="K784" s="88" t="str">
        <x:f>IF(C784="","",MAX(0,SUMIFS(SONDERZAHLUNGEN!$E$9:$E$128,SONDERZAHLUNGEN!$B$9:$B$128,C784,SONDERZAHLUNGEN!$C$9:$C$128,A784,SONDERZAHLUNGEN!$H$9:$H$128,"OK",SONDERZAHLUNGEN!$F$9:$F$128,"Ja")-G784))</x:f>
      </x:c>
    </x:row>
    <x:row r="785" ht="19" customHeight="1">
      <x:c r="A785" s="90" t="n">
        <x:f>MONATSBUDGET!$A$46</x:f>
        <x:v>47392</x:v>
      </x:c>
      <x:c r="B785" t="n">
        <x:f>6</x:f>
        <x:v>6</x:v>
      </x:c>
      <x:c r="C785" t="str">
        <x:f>IF($N$14="","",$N$14)</x:f>
      </x:c>
      <x:c r="D785" s="88" t="str">
        <x:f>IF(C785="","",I765)</x:f>
      </x:c>
      <x:c r="E785" s="88" t="str">
        <x:f>IF(C785="","",ROUND(D785*$P$14/12,2))</x:f>
      </x:c>
      <x:c r="F785" s="88" t="str">
        <x:f>IF(C785="","",MIN(D785+E785,$Q$14))</x:f>
      </x:c>
      <x:c r="G785" s="88" t="str">
        <x:f>IF(C785="","",MIN(MAX(0,D785+E785-F785),SUMIFS(SONDERZAHLUNGEN!$E$9:$E$128,SONDERZAHLUNGEN!$B$9:$B$128,C785,SONDERZAHLUNGEN!$C$9:$C$128,A785,SONDERZAHLUNGEN!$H$9:$H$128,"OK",SONDERZAHLUNGEN!$F$9:$F$128,"Ja")))</x:f>
      </x:c>
      <x:c r="H785" s="88" t="str">
        <x:f>IF(C785="","",MIN(MAX(0,D785+E785-F785-G785),MAX(0,IF(MONATSBUDGET!$C$46="",0,MONATSBUDGET!$C$46)-SUM(F780:F799)-SUM(H780:H784))))</x:f>
      </x:c>
      <x:c r="I785" s="88" t="str">
        <x:f>IF(C785="","",MAX(0,ROUND(D785+E785-F785-G785-H785,2)))</x:f>
      </x:c>
      <x:c r="J785" s="88" t="str">
        <x:f>IF(C785="","",F785+G785+H785)</x:f>
      </x:c>
      <x:c r="K785" s="88" t="str">
        <x:f>IF(C785="","",MAX(0,SUMIFS(SONDERZAHLUNGEN!$E$9:$E$128,SONDERZAHLUNGEN!$B$9:$B$128,C785,SONDERZAHLUNGEN!$C$9:$C$128,A785,SONDERZAHLUNGEN!$H$9:$H$128,"OK",SONDERZAHLUNGEN!$F$9:$F$128,"Ja")-G785))</x:f>
      </x:c>
    </x:row>
    <x:row r="786" ht="19" customHeight="1">
      <x:c r="A786" s="90" t="n">
        <x:f>MONATSBUDGET!$A$46</x:f>
        <x:v>47392</x:v>
      </x:c>
      <x:c r="B786" t="n">
        <x:f>7</x:f>
        <x:v>7</x:v>
      </x:c>
      <x:c r="C786" t="str">
        <x:f>IF($N$15="","",$N$15)</x:f>
      </x:c>
      <x:c r="D786" s="88" t="str">
        <x:f>IF(C786="","",I766)</x:f>
      </x:c>
      <x:c r="E786" s="88" t="str">
        <x:f>IF(C786="","",ROUND(D786*$P$15/12,2))</x:f>
      </x:c>
      <x:c r="F786" s="88" t="str">
        <x:f>IF(C786="","",MIN(D786+E786,$Q$15))</x:f>
      </x:c>
      <x:c r="G786" s="88" t="str">
        <x:f>IF(C786="","",MIN(MAX(0,D786+E786-F786),SUMIFS(SONDERZAHLUNGEN!$E$9:$E$128,SONDERZAHLUNGEN!$B$9:$B$128,C786,SONDERZAHLUNGEN!$C$9:$C$128,A786,SONDERZAHLUNGEN!$H$9:$H$128,"OK",SONDERZAHLUNGEN!$F$9:$F$128,"Ja")))</x:f>
      </x:c>
      <x:c r="H786" s="88" t="str">
        <x:f>IF(C786="","",MIN(MAX(0,D786+E786-F786-G786),MAX(0,IF(MONATSBUDGET!$C$46="",0,MONATSBUDGET!$C$46)-SUM(F780:F799)-SUM(H780:H785))))</x:f>
      </x:c>
      <x:c r="I786" s="88" t="str">
        <x:f>IF(C786="","",MAX(0,ROUND(D786+E786-F786-G786-H786,2)))</x:f>
      </x:c>
      <x:c r="J786" s="88" t="str">
        <x:f>IF(C786="","",F786+G786+H786)</x:f>
      </x:c>
      <x:c r="K786" s="88" t="str">
        <x:f>IF(C786="","",MAX(0,SUMIFS(SONDERZAHLUNGEN!$E$9:$E$128,SONDERZAHLUNGEN!$B$9:$B$128,C786,SONDERZAHLUNGEN!$C$9:$C$128,A786,SONDERZAHLUNGEN!$H$9:$H$128,"OK",SONDERZAHLUNGEN!$F$9:$F$128,"Ja")-G786))</x:f>
      </x:c>
    </x:row>
    <x:row r="787" ht="19" customHeight="1">
      <x:c r="A787" s="90" t="n">
        <x:f>MONATSBUDGET!$A$46</x:f>
        <x:v>47392</x:v>
      </x:c>
      <x:c r="B787" t="n">
        <x:f>8</x:f>
        <x:v>8</x:v>
      </x:c>
      <x:c r="C787" t="str">
        <x:f>IF($N$16="","",$N$16)</x:f>
      </x:c>
      <x:c r="D787" s="88" t="str">
        <x:f>IF(C787="","",I767)</x:f>
      </x:c>
      <x:c r="E787" s="88" t="str">
        <x:f>IF(C787="","",ROUND(D787*$P$16/12,2))</x:f>
      </x:c>
      <x:c r="F787" s="88" t="str">
        <x:f>IF(C787="","",MIN(D787+E787,$Q$16))</x:f>
      </x:c>
      <x:c r="G787" s="88" t="str">
        <x:f>IF(C787="","",MIN(MAX(0,D787+E787-F787),SUMIFS(SONDERZAHLUNGEN!$E$9:$E$128,SONDERZAHLUNGEN!$B$9:$B$128,C787,SONDERZAHLUNGEN!$C$9:$C$128,A787,SONDERZAHLUNGEN!$H$9:$H$128,"OK",SONDERZAHLUNGEN!$F$9:$F$128,"Ja")))</x:f>
      </x:c>
      <x:c r="H787" s="88" t="str">
        <x:f>IF(C787="","",MIN(MAX(0,D787+E787-F787-G787),MAX(0,IF(MONATSBUDGET!$C$46="",0,MONATSBUDGET!$C$46)-SUM(F780:F799)-SUM(H780:H786))))</x:f>
      </x:c>
      <x:c r="I787" s="88" t="str">
        <x:f>IF(C787="","",MAX(0,ROUND(D787+E787-F787-G787-H787,2)))</x:f>
      </x:c>
      <x:c r="J787" s="88" t="str">
        <x:f>IF(C787="","",F787+G787+H787)</x:f>
      </x:c>
      <x:c r="K787" s="88" t="str">
        <x:f>IF(C787="","",MAX(0,SUMIFS(SONDERZAHLUNGEN!$E$9:$E$128,SONDERZAHLUNGEN!$B$9:$B$128,C787,SONDERZAHLUNGEN!$C$9:$C$128,A787,SONDERZAHLUNGEN!$H$9:$H$128,"OK",SONDERZAHLUNGEN!$F$9:$F$128,"Ja")-G787))</x:f>
      </x:c>
    </x:row>
    <x:row r="788" ht="19" customHeight="1">
      <x:c r="A788" s="90" t="n">
        <x:f>MONATSBUDGET!$A$46</x:f>
        <x:v>47392</x:v>
      </x:c>
      <x:c r="B788" t="n">
        <x:f>9</x:f>
        <x:v>9</x:v>
      </x:c>
      <x:c r="C788" t="str">
        <x:f>IF($N$17="","",$N$17)</x:f>
      </x:c>
      <x:c r="D788" s="88" t="str">
        <x:f>IF(C788="","",I768)</x:f>
      </x:c>
      <x:c r="E788" s="88" t="str">
        <x:f>IF(C788="","",ROUND(D788*$P$17/12,2))</x:f>
      </x:c>
      <x:c r="F788" s="88" t="str">
        <x:f>IF(C788="","",MIN(D788+E788,$Q$17))</x:f>
      </x:c>
      <x:c r="G788" s="88" t="str">
        <x:f>IF(C788="","",MIN(MAX(0,D788+E788-F788),SUMIFS(SONDERZAHLUNGEN!$E$9:$E$128,SONDERZAHLUNGEN!$B$9:$B$128,C788,SONDERZAHLUNGEN!$C$9:$C$128,A788,SONDERZAHLUNGEN!$H$9:$H$128,"OK",SONDERZAHLUNGEN!$F$9:$F$128,"Ja")))</x:f>
      </x:c>
      <x:c r="H788" s="88" t="str">
        <x:f>IF(C788="","",MIN(MAX(0,D788+E788-F788-G788),MAX(0,IF(MONATSBUDGET!$C$46="",0,MONATSBUDGET!$C$46)-SUM(F780:F799)-SUM(H780:H787))))</x:f>
      </x:c>
      <x:c r="I788" s="88" t="str">
        <x:f>IF(C788="","",MAX(0,ROUND(D788+E788-F788-G788-H788,2)))</x:f>
      </x:c>
      <x:c r="J788" s="88" t="str">
        <x:f>IF(C788="","",F788+G788+H788)</x:f>
      </x:c>
      <x:c r="K788" s="88" t="str">
        <x:f>IF(C788="","",MAX(0,SUMIFS(SONDERZAHLUNGEN!$E$9:$E$128,SONDERZAHLUNGEN!$B$9:$B$128,C788,SONDERZAHLUNGEN!$C$9:$C$128,A788,SONDERZAHLUNGEN!$H$9:$H$128,"OK",SONDERZAHLUNGEN!$F$9:$F$128,"Ja")-G788))</x:f>
      </x:c>
    </x:row>
    <x:row r="789" ht="19" customHeight="1">
      <x:c r="A789" s="90" t="n">
        <x:f>MONATSBUDGET!$A$46</x:f>
        <x:v>47392</x:v>
      </x:c>
      <x:c r="B789" t="n">
        <x:f>10</x:f>
        <x:v>10</x:v>
      </x:c>
      <x:c r="C789" t="str">
        <x:f>IF($N$18="","",$N$18)</x:f>
      </x:c>
      <x:c r="D789" s="88" t="str">
        <x:f>IF(C789="","",I769)</x:f>
      </x:c>
      <x:c r="E789" s="88" t="str">
        <x:f>IF(C789="","",ROUND(D789*$P$18/12,2))</x:f>
      </x:c>
      <x:c r="F789" s="88" t="str">
        <x:f>IF(C789="","",MIN(D789+E789,$Q$18))</x:f>
      </x:c>
      <x:c r="G789" s="88" t="str">
        <x:f>IF(C789="","",MIN(MAX(0,D789+E789-F789),SUMIFS(SONDERZAHLUNGEN!$E$9:$E$128,SONDERZAHLUNGEN!$B$9:$B$128,C789,SONDERZAHLUNGEN!$C$9:$C$128,A789,SONDERZAHLUNGEN!$H$9:$H$128,"OK",SONDERZAHLUNGEN!$F$9:$F$128,"Ja")))</x:f>
      </x:c>
      <x:c r="H789" s="88" t="str">
        <x:f>IF(C789="","",MIN(MAX(0,D789+E789-F789-G789),MAX(0,IF(MONATSBUDGET!$C$46="",0,MONATSBUDGET!$C$46)-SUM(F780:F799)-SUM(H780:H788))))</x:f>
      </x:c>
      <x:c r="I789" s="88" t="str">
        <x:f>IF(C789="","",MAX(0,ROUND(D789+E789-F789-G789-H789,2)))</x:f>
      </x:c>
      <x:c r="J789" s="88" t="str">
        <x:f>IF(C789="","",F789+G789+H789)</x:f>
      </x:c>
      <x:c r="K789" s="88" t="str">
        <x:f>IF(C789="","",MAX(0,SUMIFS(SONDERZAHLUNGEN!$E$9:$E$128,SONDERZAHLUNGEN!$B$9:$B$128,C789,SONDERZAHLUNGEN!$C$9:$C$128,A789,SONDERZAHLUNGEN!$H$9:$H$128,"OK",SONDERZAHLUNGEN!$F$9:$F$128,"Ja")-G789))</x:f>
      </x:c>
    </x:row>
    <x:row r="790" ht="19" customHeight="1">
      <x:c r="A790" s="90" t="n">
        <x:f>MONATSBUDGET!$A$46</x:f>
        <x:v>47392</x:v>
      </x:c>
      <x:c r="B790" t="n">
        <x:f>11</x:f>
        <x:v>11</x:v>
      </x:c>
      <x:c r="C790" t="str">
        <x:f>IF($N$19="","",$N$19)</x:f>
      </x:c>
      <x:c r="D790" s="88" t="str">
        <x:f>IF(C790="","",I770)</x:f>
      </x:c>
      <x:c r="E790" s="88" t="str">
        <x:f>IF(C790="","",ROUND(D790*$P$19/12,2))</x:f>
      </x:c>
      <x:c r="F790" s="88" t="str">
        <x:f>IF(C790="","",MIN(D790+E790,$Q$19))</x:f>
      </x:c>
      <x:c r="G790" s="88" t="str">
        <x:f>IF(C790="","",MIN(MAX(0,D790+E790-F790),SUMIFS(SONDERZAHLUNGEN!$E$9:$E$128,SONDERZAHLUNGEN!$B$9:$B$128,C790,SONDERZAHLUNGEN!$C$9:$C$128,A790,SONDERZAHLUNGEN!$H$9:$H$128,"OK",SONDERZAHLUNGEN!$F$9:$F$128,"Ja")))</x:f>
      </x:c>
      <x:c r="H790" s="88" t="str">
        <x:f>IF(C790="","",MIN(MAX(0,D790+E790-F790-G790),MAX(0,IF(MONATSBUDGET!$C$46="",0,MONATSBUDGET!$C$46)-SUM(F780:F799)-SUM(H780:H789))))</x:f>
      </x:c>
      <x:c r="I790" s="88" t="str">
        <x:f>IF(C790="","",MAX(0,ROUND(D790+E790-F790-G790-H790,2)))</x:f>
      </x:c>
      <x:c r="J790" s="88" t="str">
        <x:f>IF(C790="","",F790+G790+H790)</x:f>
      </x:c>
      <x:c r="K790" s="88" t="str">
        <x:f>IF(C790="","",MAX(0,SUMIFS(SONDERZAHLUNGEN!$E$9:$E$128,SONDERZAHLUNGEN!$B$9:$B$128,C790,SONDERZAHLUNGEN!$C$9:$C$128,A790,SONDERZAHLUNGEN!$H$9:$H$128,"OK",SONDERZAHLUNGEN!$F$9:$F$128,"Ja")-G790))</x:f>
      </x:c>
    </x:row>
    <x:row r="791" ht="19" customHeight="1">
      <x:c r="A791" s="90" t="n">
        <x:f>MONATSBUDGET!$A$46</x:f>
        <x:v>47392</x:v>
      </x:c>
      <x:c r="B791" t="n">
        <x:f>12</x:f>
        <x:v>12</x:v>
      </x:c>
      <x:c r="C791" t="str">
        <x:f>IF($N$20="","",$N$20)</x:f>
      </x:c>
      <x:c r="D791" s="88" t="str">
        <x:f>IF(C791="","",I771)</x:f>
      </x:c>
      <x:c r="E791" s="88" t="str">
        <x:f>IF(C791="","",ROUND(D791*$P$20/12,2))</x:f>
      </x:c>
      <x:c r="F791" s="88" t="str">
        <x:f>IF(C791="","",MIN(D791+E791,$Q$20))</x:f>
      </x:c>
      <x:c r="G791" s="88" t="str">
        <x:f>IF(C791="","",MIN(MAX(0,D791+E791-F791),SUMIFS(SONDERZAHLUNGEN!$E$9:$E$128,SONDERZAHLUNGEN!$B$9:$B$128,C791,SONDERZAHLUNGEN!$C$9:$C$128,A791,SONDERZAHLUNGEN!$H$9:$H$128,"OK",SONDERZAHLUNGEN!$F$9:$F$128,"Ja")))</x:f>
      </x:c>
      <x:c r="H791" s="88" t="str">
        <x:f>IF(C791="","",MIN(MAX(0,D791+E791-F791-G791),MAX(0,IF(MONATSBUDGET!$C$46="",0,MONATSBUDGET!$C$46)-SUM(F780:F799)-SUM(H780:H790))))</x:f>
      </x:c>
      <x:c r="I791" s="88" t="str">
        <x:f>IF(C791="","",MAX(0,ROUND(D791+E791-F791-G791-H791,2)))</x:f>
      </x:c>
      <x:c r="J791" s="88" t="str">
        <x:f>IF(C791="","",F791+G791+H791)</x:f>
      </x:c>
      <x:c r="K791" s="88" t="str">
        <x:f>IF(C791="","",MAX(0,SUMIFS(SONDERZAHLUNGEN!$E$9:$E$128,SONDERZAHLUNGEN!$B$9:$B$128,C791,SONDERZAHLUNGEN!$C$9:$C$128,A791,SONDERZAHLUNGEN!$H$9:$H$128,"OK",SONDERZAHLUNGEN!$F$9:$F$128,"Ja")-G791))</x:f>
      </x:c>
    </x:row>
    <x:row r="792" ht="19" customHeight="1">
      <x:c r="A792" s="90" t="n">
        <x:f>MONATSBUDGET!$A$46</x:f>
        <x:v>47392</x:v>
      </x:c>
      <x:c r="B792" t="n">
        <x:f>13</x:f>
        <x:v>13</x:v>
      </x:c>
      <x:c r="C792" t="str">
        <x:f>IF($N$21="","",$N$21)</x:f>
      </x:c>
      <x:c r="D792" s="88" t="str">
        <x:f>IF(C792="","",I772)</x:f>
      </x:c>
      <x:c r="E792" s="88" t="str">
        <x:f>IF(C792="","",ROUND(D792*$P$21/12,2))</x:f>
      </x:c>
      <x:c r="F792" s="88" t="str">
        <x:f>IF(C792="","",MIN(D792+E792,$Q$21))</x:f>
      </x:c>
      <x:c r="G792" s="88" t="str">
        <x:f>IF(C792="","",MIN(MAX(0,D792+E792-F792),SUMIFS(SONDERZAHLUNGEN!$E$9:$E$128,SONDERZAHLUNGEN!$B$9:$B$128,C792,SONDERZAHLUNGEN!$C$9:$C$128,A792,SONDERZAHLUNGEN!$H$9:$H$128,"OK",SONDERZAHLUNGEN!$F$9:$F$128,"Ja")))</x:f>
      </x:c>
      <x:c r="H792" s="88" t="str">
        <x:f>IF(C792="","",MIN(MAX(0,D792+E792-F792-G792),MAX(0,IF(MONATSBUDGET!$C$46="",0,MONATSBUDGET!$C$46)-SUM(F780:F799)-SUM(H780:H791))))</x:f>
      </x:c>
      <x:c r="I792" s="88" t="str">
        <x:f>IF(C792="","",MAX(0,ROUND(D792+E792-F792-G792-H792,2)))</x:f>
      </x:c>
      <x:c r="J792" s="88" t="str">
        <x:f>IF(C792="","",F792+G792+H792)</x:f>
      </x:c>
      <x:c r="K792" s="88" t="str">
        <x:f>IF(C792="","",MAX(0,SUMIFS(SONDERZAHLUNGEN!$E$9:$E$128,SONDERZAHLUNGEN!$B$9:$B$128,C792,SONDERZAHLUNGEN!$C$9:$C$128,A792,SONDERZAHLUNGEN!$H$9:$H$128,"OK",SONDERZAHLUNGEN!$F$9:$F$128,"Ja")-G792))</x:f>
      </x:c>
    </x:row>
    <x:row r="793" ht="19" customHeight="1">
      <x:c r="A793" s="90" t="n">
        <x:f>MONATSBUDGET!$A$46</x:f>
        <x:v>47392</x:v>
      </x:c>
      <x:c r="B793" t="n">
        <x:f>14</x:f>
        <x:v>14</x:v>
      </x:c>
      <x:c r="C793" t="str">
        <x:f>IF($N$22="","",$N$22)</x:f>
      </x:c>
      <x:c r="D793" s="88" t="str">
        <x:f>IF(C793="","",I773)</x:f>
      </x:c>
      <x:c r="E793" s="88" t="str">
        <x:f>IF(C793="","",ROUND(D793*$P$22/12,2))</x:f>
      </x:c>
      <x:c r="F793" s="88" t="str">
        <x:f>IF(C793="","",MIN(D793+E793,$Q$22))</x:f>
      </x:c>
      <x:c r="G793" s="88" t="str">
        <x:f>IF(C793="","",MIN(MAX(0,D793+E793-F793),SUMIFS(SONDERZAHLUNGEN!$E$9:$E$128,SONDERZAHLUNGEN!$B$9:$B$128,C793,SONDERZAHLUNGEN!$C$9:$C$128,A793,SONDERZAHLUNGEN!$H$9:$H$128,"OK",SONDERZAHLUNGEN!$F$9:$F$128,"Ja")))</x:f>
      </x:c>
      <x:c r="H793" s="88" t="str">
        <x:f>IF(C793="","",MIN(MAX(0,D793+E793-F793-G793),MAX(0,IF(MONATSBUDGET!$C$46="",0,MONATSBUDGET!$C$46)-SUM(F780:F799)-SUM(H780:H792))))</x:f>
      </x:c>
      <x:c r="I793" s="88" t="str">
        <x:f>IF(C793="","",MAX(0,ROUND(D793+E793-F793-G793-H793,2)))</x:f>
      </x:c>
      <x:c r="J793" s="88" t="str">
        <x:f>IF(C793="","",F793+G793+H793)</x:f>
      </x:c>
      <x:c r="K793" s="88" t="str">
        <x:f>IF(C793="","",MAX(0,SUMIFS(SONDERZAHLUNGEN!$E$9:$E$128,SONDERZAHLUNGEN!$B$9:$B$128,C793,SONDERZAHLUNGEN!$C$9:$C$128,A793,SONDERZAHLUNGEN!$H$9:$H$128,"OK",SONDERZAHLUNGEN!$F$9:$F$128,"Ja")-G793))</x:f>
      </x:c>
    </x:row>
    <x:row r="794" ht="19" customHeight="1">
      <x:c r="A794" s="90" t="n">
        <x:f>MONATSBUDGET!$A$46</x:f>
        <x:v>47392</x:v>
      </x:c>
      <x:c r="B794" t="n">
        <x:f>15</x:f>
        <x:v>15</x:v>
      </x:c>
      <x:c r="C794" t="str">
        <x:f>IF($N$23="","",$N$23)</x:f>
      </x:c>
      <x:c r="D794" s="88" t="str">
        <x:f>IF(C794="","",I774)</x:f>
      </x:c>
      <x:c r="E794" s="88" t="str">
        <x:f>IF(C794="","",ROUND(D794*$P$23/12,2))</x:f>
      </x:c>
      <x:c r="F794" s="88" t="str">
        <x:f>IF(C794="","",MIN(D794+E794,$Q$23))</x:f>
      </x:c>
      <x:c r="G794" s="88" t="str">
        <x:f>IF(C794="","",MIN(MAX(0,D794+E794-F794),SUMIFS(SONDERZAHLUNGEN!$E$9:$E$128,SONDERZAHLUNGEN!$B$9:$B$128,C794,SONDERZAHLUNGEN!$C$9:$C$128,A794,SONDERZAHLUNGEN!$H$9:$H$128,"OK",SONDERZAHLUNGEN!$F$9:$F$128,"Ja")))</x:f>
      </x:c>
      <x:c r="H794" s="88" t="str">
        <x:f>IF(C794="","",MIN(MAX(0,D794+E794-F794-G794),MAX(0,IF(MONATSBUDGET!$C$46="",0,MONATSBUDGET!$C$46)-SUM(F780:F799)-SUM(H780:H793))))</x:f>
      </x:c>
      <x:c r="I794" s="88" t="str">
        <x:f>IF(C794="","",MAX(0,ROUND(D794+E794-F794-G794-H794,2)))</x:f>
      </x:c>
      <x:c r="J794" s="88" t="str">
        <x:f>IF(C794="","",F794+G794+H794)</x:f>
      </x:c>
      <x:c r="K794" s="88" t="str">
        <x:f>IF(C794="","",MAX(0,SUMIFS(SONDERZAHLUNGEN!$E$9:$E$128,SONDERZAHLUNGEN!$B$9:$B$128,C794,SONDERZAHLUNGEN!$C$9:$C$128,A794,SONDERZAHLUNGEN!$H$9:$H$128,"OK",SONDERZAHLUNGEN!$F$9:$F$128,"Ja")-G794))</x:f>
      </x:c>
    </x:row>
    <x:row r="795" ht="19" customHeight="1">
      <x:c r="A795" s="90" t="n">
        <x:f>MONATSBUDGET!$A$46</x:f>
        <x:v>47392</x:v>
      </x:c>
      <x:c r="B795" t="n">
        <x:f>16</x:f>
        <x:v>16</x:v>
      </x:c>
      <x:c r="C795" t="str">
        <x:f>IF($N$24="","",$N$24)</x:f>
      </x:c>
      <x:c r="D795" s="88" t="str">
        <x:f>IF(C795="","",I775)</x:f>
      </x:c>
      <x:c r="E795" s="88" t="str">
        <x:f>IF(C795="","",ROUND(D795*$P$24/12,2))</x:f>
      </x:c>
      <x:c r="F795" s="88" t="str">
        <x:f>IF(C795="","",MIN(D795+E795,$Q$24))</x:f>
      </x:c>
      <x:c r="G795" s="88" t="str">
        <x:f>IF(C795="","",MIN(MAX(0,D795+E795-F795),SUMIFS(SONDERZAHLUNGEN!$E$9:$E$128,SONDERZAHLUNGEN!$B$9:$B$128,C795,SONDERZAHLUNGEN!$C$9:$C$128,A795,SONDERZAHLUNGEN!$H$9:$H$128,"OK",SONDERZAHLUNGEN!$F$9:$F$128,"Ja")))</x:f>
      </x:c>
      <x:c r="H795" s="88" t="str">
        <x:f>IF(C795="","",MIN(MAX(0,D795+E795-F795-G795),MAX(0,IF(MONATSBUDGET!$C$46="",0,MONATSBUDGET!$C$46)-SUM(F780:F799)-SUM(H780:H794))))</x:f>
      </x:c>
      <x:c r="I795" s="88" t="str">
        <x:f>IF(C795="","",MAX(0,ROUND(D795+E795-F795-G795-H795,2)))</x:f>
      </x:c>
      <x:c r="J795" s="88" t="str">
        <x:f>IF(C795="","",F795+G795+H795)</x:f>
      </x:c>
      <x:c r="K795" s="88" t="str">
        <x:f>IF(C795="","",MAX(0,SUMIFS(SONDERZAHLUNGEN!$E$9:$E$128,SONDERZAHLUNGEN!$B$9:$B$128,C795,SONDERZAHLUNGEN!$C$9:$C$128,A795,SONDERZAHLUNGEN!$H$9:$H$128,"OK",SONDERZAHLUNGEN!$F$9:$F$128,"Ja")-G795))</x:f>
      </x:c>
    </x:row>
    <x:row r="796" ht="19" customHeight="1">
      <x:c r="A796" s="90" t="n">
        <x:f>MONATSBUDGET!$A$46</x:f>
        <x:v>47392</x:v>
      </x:c>
      <x:c r="B796" t="n">
        <x:f>17</x:f>
        <x:v>17</x:v>
      </x:c>
      <x:c r="C796" t="str">
        <x:f>IF($N$25="","",$N$25)</x:f>
      </x:c>
      <x:c r="D796" s="88" t="str">
        <x:f>IF(C796="","",I776)</x:f>
      </x:c>
      <x:c r="E796" s="88" t="str">
        <x:f>IF(C796="","",ROUND(D796*$P$25/12,2))</x:f>
      </x:c>
      <x:c r="F796" s="88" t="str">
        <x:f>IF(C796="","",MIN(D796+E796,$Q$25))</x:f>
      </x:c>
      <x:c r="G796" s="88" t="str">
        <x:f>IF(C796="","",MIN(MAX(0,D796+E796-F796),SUMIFS(SONDERZAHLUNGEN!$E$9:$E$128,SONDERZAHLUNGEN!$B$9:$B$128,C796,SONDERZAHLUNGEN!$C$9:$C$128,A796,SONDERZAHLUNGEN!$H$9:$H$128,"OK",SONDERZAHLUNGEN!$F$9:$F$128,"Ja")))</x:f>
      </x:c>
      <x:c r="H796" s="88" t="str">
        <x:f>IF(C796="","",MIN(MAX(0,D796+E796-F796-G796),MAX(0,IF(MONATSBUDGET!$C$46="",0,MONATSBUDGET!$C$46)-SUM(F780:F799)-SUM(H780:H795))))</x:f>
      </x:c>
      <x:c r="I796" s="88" t="str">
        <x:f>IF(C796="","",MAX(0,ROUND(D796+E796-F796-G796-H796,2)))</x:f>
      </x:c>
      <x:c r="J796" s="88" t="str">
        <x:f>IF(C796="","",F796+G796+H796)</x:f>
      </x:c>
      <x:c r="K796" s="88" t="str">
        <x:f>IF(C796="","",MAX(0,SUMIFS(SONDERZAHLUNGEN!$E$9:$E$128,SONDERZAHLUNGEN!$B$9:$B$128,C796,SONDERZAHLUNGEN!$C$9:$C$128,A796,SONDERZAHLUNGEN!$H$9:$H$128,"OK",SONDERZAHLUNGEN!$F$9:$F$128,"Ja")-G796))</x:f>
      </x:c>
    </x:row>
    <x:row r="797" ht="19" customHeight="1">
      <x:c r="A797" s="90" t="n">
        <x:f>MONATSBUDGET!$A$46</x:f>
        <x:v>47392</x:v>
      </x:c>
      <x:c r="B797" t="n">
        <x:f>18</x:f>
        <x:v>18</x:v>
      </x:c>
      <x:c r="C797" t="str">
        <x:f>IF($N$26="","",$N$26)</x:f>
      </x:c>
      <x:c r="D797" s="88" t="str">
        <x:f>IF(C797="","",I777)</x:f>
      </x:c>
      <x:c r="E797" s="88" t="str">
        <x:f>IF(C797="","",ROUND(D797*$P$26/12,2))</x:f>
      </x:c>
      <x:c r="F797" s="88" t="str">
        <x:f>IF(C797="","",MIN(D797+E797,$Q$26))</x:f>
      </x:c>
      <x:c r="G797" s="88" t="str">
        <x:f>IF(C797="","",MIN(MAX(0,D797+E797-F797),SUMIFS(SONDERZAHLUNGEN!$E$9:$E$128,SONDERZAHLUNGEN!$B$9:$B$128,C797,SONDERZAHLUNGEN!$C$9:$C$128,A797,SONDERZAHLUNGEN!$H$9:$H$128,"OK",SONDERZAHLUNGEN!$F$9:$F$128,"Ja")))</x:f>
      </x:c>
      <x:c r="H797" s="88" t="str">
        <x:f>IF(C797="","",MIN(MAX(0,D797+E797-F797-G797),MAX(0,IF(MONATSBUDGET!$C$46="",0,MONATSBUDGET!$C$46)-SUM(F780:F799)-SUM(H780:H796))))</x:f>
      </x:c>
      <x:c r="I797" s="88" t="str">
        <x:f>IF(C797="","",MAX(0,ROUND(D797+E797-F797-G797-H797,2)))</x:f>
      </x:c>
      <x:c r="J797" s="88" t="str">
        <x:f>IF(C797="","",F797+G797+H797)</x:f>
      </x:c>
      <x:c r="K797" s="88" t="str">
        <x:f>IF(C797="","",MAX(0,SUMIFS(SONDERZAHLUNGEN!$E$9:$E$128,SONDERZAHLUNGEN!$B$9:$B$128,C797,SONDERZAHLUNGEN!$C$9:$C$128,A797,SONDERZAHLUNGEN!$H$9:$H$128,"OK",SONDERZAHLUNGEN!$F$9:$F$128,"Ja")-G797))</x:f>
      </x:c>
    </x:row>
    <x:row r="798" ht="19" customHeight="1">
      <x:c r="A798" s="90" t="n">
        <x:f>MONATSBUDGET!$A$46</x:f>
        <x:v>47392</x:v>
      </x:c>
      <x:c r="B798" t="n">
        <x:f>19</x:f>
        <x:v>19</x:v>
      </x:c>
      <x:c r="C798" t="str">
        <x:f>IF($N$27="","",$N$27)</x:f>
      </x:c>
      <x:c r="D798" s="88" t="str">
        <x:f>IF(C798="","",I778)</x:f>
      </x:c>
      <x:c r="E798" s="88" t="str">
        <x:f>IF(C798="","",ROUND(D798*$P$27/12,2))</x:f>
      </x:c>
      <x:c r="F798" s="88" t="str">
        <x:f>IF(C798="","",MIN(D798+E798,$Q$27))</x:f>
      </x:c>
      <x:c r="G798" s="88" t="str">
        <x:f>IF(C798="","",MIN(MAX(0,D798+E798-F798),SUMIFS(SONDERZAHLUNGEN!$E$9:$E$128,SONDERZAHLUNGEN!$B$9:$B$128,C798,SONDERZAHLUNGEN!$C$9:$C$128,A798,SONDERZAHLUNGEN!$H$9:$H$128,"OK",SONDERZAHLUNGEN!$F$9:$F$128,"Ja")))</x:f>
      </x:c>
      <x:c r="H798" s="88" t="str">
        <x:f>IF(C798="","",MIN(MAX(0,D798+E798-F798-G798),MAX(0,IF(MONATSBUDGET!$C$46="",0,MONATSBUDGET!$C$46)-SUM(F780:F799)-SUM(H780:H797))))</x:f>
      </x:c>
      <x:c r="I798" s="88" t="str">
        <x:f>IF(C798="","",MAX(0,ROUND(D798+E798-F798-G798-H798,2)))</x:f>
      </x:c>
      <x:c r="J798" s="88" t="str">
        <x:f>IF(C798="","",F798+G798+H798)</x:f>
      </x:c>
      <x:c r="K798" s="88" t="str">
        <x:f>IF(C798="","",MAX(0,SUMIFS(SONDERZAHLUNGEN!$E$9:$E$128,SONDERZAHLUNGEN!$B$9:$B$128,C798,SONDERZAHLUNGEN!$C$9:$C$128,A798,SONDERZAHLUNGEN!$H$9:$H$128,"OK",SONDERZAHLUNGEN!$F$9:$F$128,"Ja")-G798))</x:f>
      </x:c>
    </x:row>
    <x:row r="799" ht="19" customHeight="1">
      <x:c r="A799" s="90" t="n">
        <x:f>MONATSBUDGET!$A$46</x:f>
        <x:v>47392</x:v>
      </x:c>
      <x:c r="B799" t="n">
        <x:f>20</x:f>
        <x:v>20</x:v>
      </x:c>
      <x:c r="C799" t="str">
        <x:f>IF($N$28="","",$N$28)</x:f>
      </x:c>
      <x:c r="D799" s="88" t="str">
        <x:f>IF(C799="","",I779)</x:f>
      </x:c>
      <x:c r="E799" s="88" t="str">
        <x:f>IF(C799="","",ROUND(D799*$P$28/12,2))</x:f>
      </x:c>
      <x:c r="F799" s="88" t="str">
        <x:f>IF(C799="","",MIN(D799+E799,$Q$28))</x:f>
      </x:c>
      <x:c r="G799" s="88" t="str">
        <x:f>IF(C799="","",MIN(MAX(0,D799+E799-F799),SUMIFS(SONDERZAHLUNGEN!$E$9:$E$128,SONDERZAHLUNGEN!$B$9:$B$128,C799,SONDERZAHLUNGEN!$C$9:$C$128,A799,SONDERZAHLUNGEN!$H$9:$H$128,"OK",SONDERZAHLUNGEN!$F$9:$F$128,"Ja")))</x:f>
      </x:c>
      <x:c r="H799" s="88" t="str">
        <x:f>IF(C799="","",MIN(MAX(0,D799+E799-F799-G799),MAX(0,IF(MONATSBUDGET!$C$46="",0,MONATSBUDGET!$C$46)-SUM(F780:F799)-SUM(H780:H798))))</x:f>
      </x:c>
      <x:c r="I799" s="88" t="str">
        <x:f>IF(C799="","",MAX(0,ROUND(D799+E799-F799-G799-H799,2)))</x:f>
      </x:c>
      <x:c r="J799" s="88" t="str">
        <x:f>IF(C799="","",F799+G799+H799)</x:f>
      </x:c>
      <x:c r="K799" s="88" t="str">
        <x:f>IF(C799="","",MAX(0,SUMIFS(SONDERZAHLUNGEN!$E$9:$E$128,SONDERZAHLUNGEN!$B$9:$B$128,C799,SONDERZAHLUNGEN!$C$9:$C$128,A799,SONDERZAHLUNGEN!$H$9:$H$128,"OK",SONDERZAHLUNGEN!$F$9:$F$128,"Ja")-G799))</x:f>
      </x:c>
    </x:row>
    <x:row r="800" ht="19" customHeight="1">
      <x:c r="A800" s="90" t="n">
        <x:f>MONATSBUDGET!$A$47</x:f>
        <x:v>47423</x:v>
      </x:c>
      <x:c r="B800" t="n">
        <x:f>1</x:f>
        <x:v>1</x:v>
      </x:c>
      <x:c r="C800" t="str">
        <x:f>IF($N$9="","",$N$9)</x:f>
      </x:c>
      <x:c r="D800" s="88" t="str">
        <x:f>IF(C800="","",I780)</x:f>
      </x:c>
      <x:c r="E800" s="88" t="str">
        <x:f>IF(C800="","",ROUND(D800*$P$9/12,2))</x:f>
      </x:c>
      <x:c r="F800" s="88" t="str">
        <x:f>IF(C800="","",MIN(D800+E800,$Q$9))</x:f>
      </x:c>
      <x:c r="G800" s="88" t="str">
        <x:f>IF(C800="","",MIN(MAX(0,D800+E800-F800),SUMIFS(SONDERZAHLUNGEN!$E$9:$E$128,SONDERZAHLUNGEN!$B$9:$B$128,C800,SONDERZAHLUNGEN!$C$9:$C$128,A800,SONDERZAHLUNGEN!$H$9:$H$128,"OK",SONDERZAHLUNGEN!$F$9:$F$128,"Ja")))</x:f>
      </x:c>
      <x:c r="H800" s="88" t="str">
        <x:f>IF(C800="","",MIN(MAX(0,D800+E800-F800-G800),MAX(0,IF(MONATSBUDGET!$C$47="",0,MONATSBUDGET!$C$47)-SUM(F800:F819)-0)))</x:f>
      </x:c>
      <x:c r="I800" s="88" t="str">
        <x:f>IF(C800="","",MAX(0,ROUND(D800+E800-F800-G800-H800,2)))</x:f>
      </x:c>
      <x:c r="J800" s="88" t="str">
        <x:f>IF(C800="","",F800+G800+H800)</x:f>
      </x:c>
      <x:c r="K800" s="88" t="str">
        <x:f>IF(C800="","",MAX(0,SUMIFS(SONDERZAHLUNGEN!$E$9:$E$128,SONDERZAHLUNGEN!$B$9:$B$128,C800,SONDERZAHLUNGEN!$C$9:$C$128,A800,SONDERZAHLUNGEN!$H$9:$H$128,"OK",SONDERZAHLUNGEN!$F$9:$F$128,"Ja")-G800))</x:f>
      </x:c>
    </x:row>
    <x:row r="801" ht="19" customHeight="1">
      <x:c r="A801" s="90" t="n">
        <x:f>MONATSBUDGET!$A$47</x:f>
        <x:v>47423</x:v>
      </x:c>
      <x:c r="B801" t="n">
        <x:f>2</x:f>
        <x:v>2</x:v>
      </x:c>
      <x:c r="C801" t="str">
        <x:f>IF($N$10="","",$N$10)</x:f>
      </x:c>
      <x:c r="D801" s="88" t="str">
        <x:f>IF(C801="","",I781)</x:f>
      </x:c>
      <x:c r="E801" s="88" t="str">
        <x:f>IF(C801="","",ROUND(D801*$P$10/12,2))</x:f>
      </x:c>
      <x:c r="F801" s="88" t="str">
        <x:f>IF(C801="","",MIN(D801+E801,$Q$10))</x:f>
      </x:c>
      <x:c r="G801" s="88" t="str">
        <x:f>IF(C801="","",MIN(MAX(0,D801+E801-F801),SUMIFS(SONDERZAHLUNGEN!$E$9:$E$128,SONDERZAHLUNGEN!$B$9:$B$128,C801,SONDERZAHLUNGEN!$C$9:$C$128,A801,SONDERZAHLUNGEN!$H$9:$H$128,"OK",SONDERZAHLUNGEN!$F$9:$F$128,"Ja")))</x:f>
      </x:c>
      <x:c r="H801" s="88" t="str">
        <x:f>IF(C801="","",MIN(MAX(0,D801+E801-F801-G801),MAX(0,IF(MONATSBUDGET!$C$47="",0,MONATSBUDGET!$C$47)-SUM(F800:F819)-SUM(H800:H800))))</x:f>
      </x:c>
      <x:c r="I801" s="88" t="str">
        <x:f>IF(C801="","",MAX(0,ROUND(D801+E801-F801-G801-H801,2)))</x:f>
      </x:c>
      <x:c r="J801" s="88" t="str">
        <x:f>IF(C801="","",F801+G801+H801)</x:f>
      </x:c>
      <x:c r="K801" s="88" t="str">
        <x:f>IF(C801="","",MAX(0,SUMIFS(SONDERZAHLUNGEN!$E$9:$E$128,SONDERZAHLUNGEN!$B$9:$B$128,C801,SONDERZAHLUNGEN!$C$9:$C$128,A801,SONDERZAHLUNGEN!$H$9:$H$128,"OK",SONDERZAHLUNGEN!$F$9:$F$128,"Ja")-G801))</x:f>
      </x:c>
    </x:row>
    <x:row r="802" ht="19" customHeight="1">
      <x:c r="A802" s="90" t="n">
        <x:f>MONATSBUDGET!$A$47</x:f>
        <x:v>47423</x:v>
      </x:c>
      <x:c r="B802" t="n">
        <x:f>3</x:f>
        <x:v>3</x:v>
      </x:c>
      <x:c r="C802" t="str">
        <x:f>IF($N$11="","",$N$11)</x:f>
      </x:c>
      <x:c r="D802" s="88" t="str">
        <x:f>IF(C802="","",I782)</x:f>
      </x:c>
      <x:c r="E802" s="88" t="str">
        <x:f>IF(C802="","",ROUND(D802*$P$11/12,2))</x:f>
      </x:c>
      <x:c r="F802" s="88" t="str">
        <x:f>IF(C802="","",MIN(D802+E802,$Q$11))</x:f>
      </x:c>
      <x:c r="G802" s="88" t="str">
        <x:f>IF(C802="","",MIN(MAX(0,D802+E802-F802),SUMIFS(SONDERZAHLUNGEN!$E$9:$E$128,SONDERZAHLUNGEN!$B$9:$B$128,C802,SONDERZAHLUNGEN!$C$9:$C$128,A802,SONDERZAHLUNGEN!$H$9:$H$128,"OK",SONDERZAHLUNGEN!$F$9:$F$128,"Ja")))</x:f>
      </x:c>
      <x:c r="H802" s="88" t="str">
        <x:f>IF(C802="","",MIN(MAX(0,D802+E802-F802-G802),MAX(0,IF(MONATSBUDGET!$C$47="",0,MONATSBUDGET!$C$47)-SUM(F800:F819)-SUM(H800:H801))))</x:f>
      </x:c>
      <x:c r="I802" s="88" t="str">
        <x:f>IF(C802="","",MAX(0,ROUND(D802+E802-F802-G802-H802,2)))</x:f>
      </x:c>
      <x:c r="J802" s="88" t="str">
        <x:f>IF(C802="","",F802+G802+H802)</x:f>
      </x:c>
      <x:c r="K802" s="88" t="str">
        <x:f>IF(C802="","",MAX(0,SUMIFS(SONDERZAHLUNGEN!$E$9:$E$128,SONDERZAHLUNGEN!$B$9:$B$128,C802,SONDERZAHLUNGEN!$C$9:$C$128,A802,SONDERZAHLUNGEN!$H$9:$H$128,"OK",SONDERZAHLUNGEN!$F$9:$F$128,"Ja")-G802))</x:f>
      </x:c>
    </x:row>
    <x:row r="803" ht="19" customHeight="1">
      <x:c r="A803" s="90" t="n">
        <x:f>MONATSBUDGET!$A$47</x:f>
        <x:v>47423</x:v>
      </x:c>
      <x:c r="B803" t="n">
        <x:f>4</x:f>
        <x:v>4</x:v>
      </x:c>
      <x:c r="C803" t="str">
        <x:f>IF($N$12="","",$N$12)</x:f>
      </x:c>
      <x:c r="D803" s="88" t="str">
        <x:f>IF(C803="","",I783)</x:f>
      </x:c>
      <x:c r="E803" s="88" t="str">
        <x:f>IF(C803="","",ROUND(D803*$P$12/12,2))</x:f>
      </x:c>
      <x:c r="F803" s="88" t="str">
        <x:f>IF(C803="","",MIN(D803+E803,$Q$12))</x:f>
      </x:c>
      <x:c r="G803" s="88" t="str">
        <x:f>IF(C803="","",MIN(MAX(0,D803+E803-F803),SUMIFS(SONDERZAHLUNGEN!$E$9:$E$128,SONDERZAHLUNGEN!$B$9:$B$128,C803,SONDERZAHLUNGEN!$C$9:$C$128,A803,SONDERZAHLUNGEN!$H$9:$H$128,"OK",SONDERZAHLUNGEN!$F$9:$F$128,"Ja")))</x:f>
      </x:c>
      <x:c r="H803" s="88" t="str">
        <x:f>IF(C803="","",MIN(MAX(0,D803+E803-F803-G803),MAX(0,IF(MONATSBUDGET!$C$47="",0,MONATSBUDGET!$C$47)-SUM(F800:F819)-SUM(H800:H802))))</x:f>
      </x:c>
      <x:c r="I803" s="88" t="str">
        <x:f>IF(C803="","",MAX(0,ROUND(D803+E803-F803-G803-H803,2)))</x:f>
      </x:c>
      <x:c r="J803" s="88" t="str">
        <x:f>IF(C803="","",F803+G803+H803)</x:f>
      </x:c>
      <x:c r="K803" s="88" t="str">
        <x:f>IF(C803="","",MAX(0,SUMIFS(SONDERZAHLUNGEN!$E$9:$E$128,SONDERZAHLUNGEN!$B$9:$B$128,C803,SONDERZAHLUNGEN!$C$9:$C$128,A803,SONDERZAHLUNGEN!$H$9:$H$128,"OK",SONDERZAHLUNGEN!$F$9:$F$128,"Ja")-G803))</x:f>
      </x:c>
    </x:row>
    <x:row r="804" ht="19" customHeight="1">
      <x:c r="A804" s="90" t="n">
        <x:f>MONATSBUDGET!$A$47</x:f>
        <x:v>47423</x:v>
      </x:c>
      <x:c r="B804" t="n">
        <x:f>5</x:f>
        <x:v>5</x:v>
      </x:c>
      <x:c r="C804" t="str">
        <x:f>IF($N$13="","",$N$13)</x:f>
      </x:c>
      <x:c r="D804" s="88" t="str">
        <x:f>IF(C804="","",I784)</x:f>
      </x:c>
      <x:c r="E804" s="88" t="str">
        <x:f>IF(C804="","",ROUND(D804*$P$13/12,2))</x:f>
      </x:c>
      <x:c r="F804" s="88" t="str">
        <x:f>IF(C804="","",MIN(D804+E804,$Q$13))</x:f>
      </x:c>
      <x:c r="G804" s="88" t="str">
        <x:f>IF(C804="","",MIN(MAX(0,D804+E804-F804),SUMIFS(SONDERZAHLUNGEN!$E$9:$E$128,SONDERZAHLUNGEN!$B$9:$B$128,C804,SONDERZAHLUNGEN!$C$9:$C$128,A804,SONDERZAHLUNGEN!$H$9:$H$128,"OK",SONDERZAHLUNGEN!$F$9:$F$128,"Ja")))</x:f>
      </x:c>
      <x:c r="H804" s="88" t="str">
        <x:f>IF(C804="","",MIN(MAX(0,D804+E804-F804-G804),MAX(0,IF(MONATSBUDGET!$C$47="",0,MONATSBUDGET!$C$47)-SUM(F800:F819)-SUM(H800:H803))))</x:f>
      </x:c>
      <x:c r="I804" s="88" t="str">
        <x:f>IF(C804="","",MAX(0,ROUND(D804+E804-F804-G804-H804,2)))</x:f>
      </x:c>
      <x:c r="J804" s="88" t="str">
        <x:f>IF(C804="","",F804+G804+H804)</x:f>
      </x:c>
      <x:c r="K804" s="88" t="str">
        <x:f>IF(C804="","",MAX(0,SUMIFS(SONDERZAHLUNGEN!$E$9:$E$128,SONDERZAHLUNGEN!$B$9:$B$128,C804,SONDERZAHLUNGEN!$C$9:$C$128,A804,SONDERZAHLUNGEN!$H$9:$H$128,"OK",SONDERZAHLUNGEN!$F$9:$F$128,"Ja")-G804))</x:f>
      </x:c>
    </x:row>
    <x:row r="805" ht="19" customHeight="1">
      <x:c r="A805" s="90" t="n">
        <x:f>MONATSBUDGET!$A$47</x:f>
        <x:v>47423</x:v>
      </x:c>
      <x:c r="B805" t="n">
        <x:f>6</x:f>
        <x:v>6</x:v>
      </x:c>
      <x:c r="C805" t="str">
        <x:f>IF($N$14="","",$N$14)</x:f>
      </x:c>
      <x:c r="D805" s="88" t="str">
        <x:f>IF(C805="","",I785)</x:f>
      </x:c>
      <x:c r="E805" s="88" t="str">
        <x:f>IF(C805="","",ROUND(D805*$P$14/12,2))</x:f>
      </x:c>
      <x:c r="F805" s="88" t="str">
        <x:f>IF(C805="","",MIN(D805+E805,$Q$14))</x:f>
      </x:c>
      <x:c r="G805" s="88" t="str">
        <x:f>IF(C805="","",MIN(MAX(0,D805+E805-F805),SUMIFS(SONDERZAHLUNGEN!$E$9:$E$128,SONDERZAHLUNGEN!$B$9:$B$128,C805,SONDERZAHLUNGEN!$C$9:$C$128,A805,SONDERZAHLUNGEN!$H$9:$H$128,"OK",SONDERZAHLUNGEN!$F$9:$F$128,"Ja")))</x:f>
      </x:c>
      <x:c r="H805" s="88" t="str">
        <x:f>IF(C805="","",MIN(MAX(0,D805+E805-F805-G805),MAX(0,IF(MONATSBUDGET!$C$47="",0,MONATSBUDGET!$C$47)-SUM(F800:F819)-SUM(H800:H804))))</x:f>
      </x:c>
      <x:c r="I805" s="88" t="str">
        <x:f>IF(C805="","",MAX(0,ROUND(D805+E805-F805-G805-H805,2)))</x:f>
      </x:c>
      <x:c r="J805" s="88" t="str">
        <x:f>IF(C805="","",F805+G805+H805)</x:f>
      </x:c>
      <x:c r="K805" s="88" t="str">
        <x:f>IF(C805="","",MAX(0,SUMIFS(SONDERZAHLUNGEN!$E$9:$E$128,SONDERZAHLUNGEN!$B$9:$B$128,C805,SONDERZAHLUNGEN!$C$9:$C$128,A805,SONDERZAHLUNGEN!$H$9:$H$128,"OK",SONDERZAHLUNGEN!$F$9:$F$128,"Ja")-G805))</x:f>
      </x:c>
    </x:row>
    <x:row r="806" ht="19" customHeight="1">
      <x:c r="A806" s="90" t="n">
        <x:f>MONATSBUDGET!$A$47</x:f>
        <x:v>47423</x:v>
      </x:c>
      <x:c r="B806" t="n">
        <x:f>7</x:f>
        <x:v>7</x:v>
      </x:c>
      <x:c r="C806" t="str">
        <x:f>IF($N$15="","",$N$15)</x:f>
      </x:c>
      <x:c r="D806" s="88" t="str">
        <x:f>IF(C806="","",I786)</x:f>
      </x:c>
      <x:c r="E806" s="88" t="str">
        <x:f>IF(C806="","",ROUND(D806*$P$15/12,2))</x:f>
      </x:c>
      <x:c r="F806" s="88" t="str">
        <x:f>IF(C806="","",MIN(D806+E806,$Q$15))</x:f>
      </x:c>
      <x:c r="G806" s="88" t="str">
        <x:f>IF(C806="","",MIN(MAX(0,D806+E806-F806),SUMIFS(SONDERZAHLUNGEN!$E$9:$E$128,SONDERZAHLUNGEN!$B$9:$B$128,C806,SONDERZAHLUNGEN!$C$9:$C$128,A806,SONDERZAHLUNGEN!$H$9:$H$128,"OK",SONDERZAHLUNGEN!$F$9:$F$128,"Ja")))</x:f>
      </x:c>
      <x:c r="H806" s="88" t="str">
        <x:f>IF(C806="","",MIN(MAX(0,D806+E806-F806-G806),MAX(0,IF(MONATSBUDGET!$C$47="",0,MONATSBUDGET!$C$47)-SUM(F800:F819)-SUM(H800:H805))))</x:f>
      </x:c>
      <x:c r="I806" s="88" t="str">
        <x:f>IF(C806="","",MAX(0,ROUND(D806+E806-F806-G806-H806,2)))</x:f>
      </x:c>
      <x:c r="J806" s="88" t="str">
        <x:f>IF(C806="","",F806+G806+H806)</x:f>
      </x:c>
      <x:c r="K806" s="88" t="str">
        <x:f>IF(C806="","",MAX(0,SUMIFS(SONDERZAHLUNGEN!$E$9:$E$128,SONDERZAHLUNGEN!$B$9:$B$128,C806,SONDERZAHLUNGEN!$C$9:$C$128,A806,SONDERZAHLUNGEN!$H$9:$H$128,"OK",SONDERZAHLUNGEN!$F$9:$F$128,"Ja")-G806))</x:f>
      </x:c>
    </x:row>
    <x:row r="807" ht="19" customHeight="1">
      <x:c r="A807" s="90" t="n">
        <x:f>MONATSBUDGET!$A$47</x:f>
        <x:v>47423</x:v>
      </x:c>
      <x:c r="B807" t="n">
        <x:f>8</x:f>
        <x:v>8</x:v>
      </x:c>
      <x:c r="C807" t="str">
        <x:f>IF($N$16="","",$N$16)</x:f>
      </x:c>
      <x:c r="D807" s="88" t="str">
        <x:f>IF(C807="","",I787)</x:f>
      </x:c>
      <x:c r="E807" s="88" t="str">
        <x:f>IF(C807="","",ROUND(D807*$P$16/12,2))</x:f>
      </x:c>
      <x:c r="F807" s="88" t="str">
        <x:f>IF(C807="","",MIN(D807+E807,$Q$16))</x:f>
      </x:c>
      <x:c r="G807" s="88" t="str">
        <x:f>IF(C807="","",MIN(MAX(0,D807+E807-F807),SUMIFS(SONDERZAHLUNGEN!$E$9:$E$128,SONDERZAHLUNGEN!$B$9:$B$128,C807,SONDERZAHLUNGEN!$C$9:$C$128,A807,SONDERZAHLUNGEN!$H$9:$H$128,"OK",SONDERZAHLUNGEN!$F$9:$F$128,"Ja")))</x:f>
      </x:c>
      <x:c r="H807" s="88" t="str">
        <x:f>IF(C807="","",MIN(MAX(0,D807+E807-F807-G807),MAX(0,IF(MONATSBUDGET!$C$47="",0,MONATSBUDGET!$C$47)-SUM(F800:F819)-SUM(H800:H806))))</x:f>
      </x:c>
      <x:c r="I807" s="88" t="str">
        <x:f>IF(C807="","",MAX(0,ROUND(D807+E807-F807-G807-H807,2)))</x:f>
      </x:c>
      <x:c r="J807" s="88" t="str">
        <x:f>IF(C807="","",F807+G807+H807)</x:f>
      </x:c>
      <x:c r="K807" s="88" t="str">
        <x:f>IF(C807="","",MAX(0,SUMIFS(SONDERZAHLUNGEN!$E$9:$E$128,SONDERZAHLUNGEN!$B$9:$B$128,C807,SONDERZAHLUNGEN!$C$9:$C$128,A807,SONDERZAHLUNGEN!$H$9:$H$128,"OK",SONDERZAHLUNGEN!$F$9:$F$128,"Ja")-G807))</x:f>
      </x:c>
    </x:row>
    <x:row r="808" ht="19" customHeight="1">
      <x:c r="A808" s="90" t="n">
        <x:f>MONATSBUDGET!$A$47</x:f>
        <x:v>47423</x:v>
      </x:c>
      <x:c r="B808" t="n">
        <x:f>9</x:f>
        <x:v>9</x:v>
      </x:c>
      <x:c r="C808" t="str">
        <x:f>IF($N$17="","",$N$17)</x:f>
      </x:c>
      <x:c r="D808" s="88" t="str">
        <x:f>IF(C808="","",I788)</x:f>
      </x:c>
      <x:c r="E808" s="88" t="str">
        <x:f>IF(C808="","",ROUND(D808*$P$17/12,2))</x:f>
      </x:c>
      <x:c r="F808" s="88" t="str">
        <x:f>IF(C808="","",MIN(D808+E808,$Q$17))</x:f>
      </x:c>
      <x:c r="G808" s="88" t="str">
        <x:f>IF(C808="","",MIN(MAX(0,D808+E808-F808),SUMIFS(SONDERZAHLUNGEN!$E$9:$E$128,SONDERZAHLUNGEN!$B$9:$B$128,C808,SONDERZAHLUNGEN!$C$9:$C$128,A808,SONDERZAHLUNGEN!$H$9:$H$128,"OK",SONDERZAHLUNGEN!$F$9:$F$128,"Ja")))</x:f>
      </x:c>
      <x:c r="H808" s="88" t="str">
        <x:f>IF(C808="","",MIN(MAX(0,D808+E808-F808-G808),MAX(0,IF(MONATSBUDGET!$C$47="",0,MONATSBUDGET!$C$47)-SUM(F800:F819)-SUM(H800:H807))))</x:f>
      </x:c>
      <x:c r="I808" s="88" t="str">
        <x:f>IF(C808="","",MAX(0,ROUND(D808+E808-F808-G808-H808,2)))</x:f>
      </x:c>
      <x:c r="J808" s="88" t="str">
        <x:f>IF(C808="","",F808+G808+H808)</x:f>
      </x:c>
      <x:c r="K808" s="88" t="str">
        <x:f>IF(C808="","",MAX(0,SUMIFS(SONDERZAHLUNGEN!$E$9:$E$128,SONDERZAHLUNGEN!$B$9:$B$128,C808,SONDERZAHLUNGEN!$C$9:$C$128,A808,SONDERZAHLUNGEN!$H$9:$H$128,"OK",SONDERZAHLUNGEN!$F$9:$F$128,"Ja")-G808))</x:f>
      </x:c>
    </x:row>
    <x:row r="809" ht="19" customHeight="1">
      <x:c r="A809" s="90" t="n">
        <x:f>MONATSBUDGET!$A$47</x:f>
        <x:v>47423</x:v>
      </x:c>
      <x:c r="B809" t="n">
        <x:f>10</x:f>
        <x:v>10</x:v>
      </x:c>
      <x:c r="C809" t="str">
        <x:f>IF($N$18="","",$N$18)</x:f>
      </x:c>
      <x:c r="D809" s="88" t="str">
        <x:f>IF(C809="","",I789)</x:f>
      </x:c>
      <x:c r="E809" s="88" t="str">
        <x:f>IF(C809="","",ROUND(D809*$P$18/12,2))</x:f>
      </x:c>
      <x:c r="F809" s="88" t="str">
        <x:f>IF(C809="","",MIN(D809+E809,$Q$18))</x:f>
      </x:c>
      <x:c r="G809" s="88" t="str">
        <x:f>IF(C809="","",MIN(MAX(0,D809+E809-F809),SUMIFS(SONDERZAHLUNGEN!$E$9:$E$128,SONDERZAHLUNGEN!$B$9:$B$128,C809,SONDERZAHLUNGEN!$C$9:$C$128,A809,SONDERZAHLUNGEN!$H$9:$H$128,"OK",SONDERZAHLUNGEN!$F$9:$F$128,"Ja")))</x:f>
      </x:c>
      <x:c r="H809" s="88" t="str">
        <x:f>IF(C809="","",MIN(MAX(0,D809+E809-F809-G809),MAX(0,IF(MONATSBUDGET!$C$47="",0,MONATSBUDGET!$C$47)-SUM(F800:F819)-SUM(H800:H808))))</x:f>
      </x:c>
      <x:c r="I809" s="88" t="str">
        <x:f>IF(C809="","",MAX(0,ROUND(D809+E809-F809-G809-H809,2)))</x:f>
      </x:c>
      <x:c r="J809" s="88" t="str">
        <x:f>IF(C809="","",F809+G809+H809)</x:f>
      </x:c>
      <x:c r="K809" s="88" t="str">
        <x:f>IF(C809="","",MAX(0,SUMIFS(SONDERZAHLUNGEN!$E$9:$E$128,SONDERZAHLUNGEN!$B$9:$B$128,C809,SONDERZAHLUNGEN!$C$9:$C$128,A809,SONDERZAHLUNGEN!$H$9:$H$128,"OK",SONDERZAHLUNGEN!$F$9:$F$128,"Ja")-G809))</x:f>
      </x:c>
    </x:row>
    <x:row r="810" ht="19" customHeight="1">
      <x:c r="A810" s="90" t="n">
        <x:f>MONATSBUDGET!$A$47</x:f>
        <x:v>47423</x:v>
      </x:c>
      <x:c r="B810" t="n">
        <x:f>11</x:f>
        <x:v>11</x:v>
      </x:c>
      <x:c r="C810" t="str">
        <x:f>IF($N$19="","",$N$19)</x:f>
      </x:c>
      <x:c r="D810" s="88" t="str">
        <x:f>IF(C810="","",I790)</x:f>
      </x:c>
      <x:c r="E810" s="88" t="str">
        <x:f>IF(C810="","",ROUND(D810*$P$19/12,2))</x:f>
      </x:c>
      <x:c r="F810" s="88" t="str">
        <x:f>IF(C810="","",MIN(D810+E810,$Q$19))</x:f>
      </x:c>
      <x:c r="G810" s="88" t="str">
        <x:f>IF(C810="","",MIN(MAX(0,D810+E810-F810),SUMIFS(SONDERZAHLUNGEN!$E$9:$E$128,SONDERZAHLUNGEN!$B$9:$B$128,C810,SONDERZAHLUNGEN!$C$9:$C$128,A810,SONDERZAHLUNGEN!$H$9:$H$128,"OK",SONDERZAHLUNGEN!$F$9:$F$128,"Ja")))</x:f>
      </x:c>
      <x:c r="H810" s="88" t="str">
        <x:f>IF(C810="","",MIN(MAX(0,D810+E810-F810-G810),MAX(0,IF(MONATSBUDGET!$C$47="",0,MONATSBUDGET!$C$47)-SUM(F800:F819)-SUM(H800:H809))))</x:f>
      </x:c>
      <x:c r="I810" s="88" t="str">
        <x:f>IF(C810="","",MAX(0,ROUND(D810+E810-F810-G810-H810,2)))</x:f>
      </x:c>
      <x:c r="J810" s="88" t="str">
        <x:f>IF(C810="","",F810+G810+H810)</x:f>
      </x:c>
      <x:c r="K810" s="88" t="str">
        <x:f>IF(C810="","",MAX(0,SUMIFS(SONDERZAHLUNGEN!$E$9:$E$128,SONDERZAHLUNGEN!$B$9:$B$128,C810,SONDERZAHLUNGEN!$C$9:$C$128,A810,SONDERZAHLUNGEN!$H$9:$H$128,"OK",SONDERZAHLUNGEN!$F$9:$F$128,"Ja")-G810))</x:f>
      </x:c>
    </x:row>
    <x:row r="811" ht="19" customHeight="1">
      <x:c r="A811" s="90" t="n">
        <x:f>MONATSBUDGET!$A$47</x:f>
        <x:v>47423</x:v>
      </x:c>
      <x:c r="B811" t="n">
        <x:f>12</x:f>
        <x:v>12</x:v>
      </x:c>
      <x:c r="C811" t="str">
        <x:f>IF($N$20="","",$N$20)</x:f>
      </x:c>
      <x:c r="D811" s="88" t="str">
        <x:f>IF(C811="","",I791)</x:f>
      </x:c>
      <x:c r="E811" s="88" t="str">
        <x:f>IF(C811="","",ROUND(D811*$P$20/12,2))</x:f>
      </x:c>
      <x:c r="F811" s="88" t="str">
        <x:f>IF(C811="","",MIN(D811+E811,$Q$20))</x:f>
      </x:c>
      <x:c r="G811" s="88" t="str">
        <x:f>IF(C811="","",MIN(MAX(0,D811+E811-F811),SUMIFS(SONDERZAHLUNGEN!$E$9:$E$128,SONDERZAHLUNGEN!$B$9:$B$128,C811,SONDERZAHLUNGEN!$C$9:$C$128,A811,SONDERZAHLUNGEN!$H$9:$H$128,"OK",SONDERZAHLUNGEN!$F$9:$F$128,"Ja")))</x:f>
      </x:c>
      <x:c r="H811" s="88" t="str">
        <x:f>IF(C811="","",MIN(MAX(0,D811+E811-F811-G811),MAX(0,IF(MONATSBUDGET!$C$47="",0,MONATSBUDGET!$C$47)-SUM(F800:F819)-SUM(H800:H810))))</x:f>
      </x:c>
      <x:c r="I811" s="88" t="str">
        <x:f>IF(C811="","",MAX(0,ROUND(D811+E811-F811-G811-H811,2)))</x:f>
      </x:c>
      <x:c r="J811" s="88" t="str">
        <x:f>IF(C811="","",F811+G811+H811)</x:f>
      </x:c>
      <x:c r="K811" s="88" t="str">
        <x:f>IF(C811="","",MAX(0,SUMIFS(SONDERZAHLUNGEN!$E$9:$E$128,SONDERZAHLUNGEN!$B$9:$B$128,C811,SONDERZAHLUNGEN!$C$9:$C$128,A811,SONDERZAHLUNGEN!$H$9:$H$128,"OK",SONDERZAHLUNGEN!$F$9:$F$128,"Ja")-G811))</x:f>
      </x:c>
    </x:row>
    <x:row r="812" ht="19" customHeight="1">
      <x:c r="A812" s="90" t="n">
        <x:f>MONATSBUDGET!$A$47</x:f>
        <x:v>47423</x:v>
      </x:c>
      <x:c r="B812" t="n">
        <x:f>13</x:f>
        <x:v>13</x:v>
      </x:c>
      <x:c r="C812" t="str">
        <x:f>IF($N$21="","",$N$21)</x:f>
      </x:c>
      <x:c r="D812" s="88" t="str">
        <x:f>IF(C812="","",I792)</x:f>
      </x:c>
      <x:c r="E812" s="88" t="str">
        <x:f>IF(C812="","",ROUND(D812*$P$21/12,2))</x:f>
      </x:c>
      <x:c r="F812" s="88" t="str">
        <x:f>IF(C812="","",MIN(D812+E812,$Q$21))</x:f>
      </x:c>
      <x:c r="G812" s="88" t="str">
        <x:f>IF(C812="","",MIN(MAX(0,D812+E812-F812),SUMIFS(SONDERZAHLUNGEN!$E$9:$E$128,SONDERZAHLUNGEN!$B$9:$B$128,C812,SONDERZAHLUNGEN!$C$9:$C$128,A812,SONDERZAHLUNGEN!$H$9:$H$128,"OK",SONDERZAHLUNGEN!$F$9:$F$128,"Ja")))</x:f>
      </x:c>
      <x:c r="H812" s="88" t="str">
        <x:f>IF(C812="","",MIN(MAX(0,D812+E812-F812-G812),MAX(0,IF(MONATSBUDGET!$C$47="",0,MONATSBUDGET!$C$47)-SUM(F800:F819)-SUM(H800:H811))))</x:f>
      </x:c>
      <x:c r="I812" s="88" t="str">
        <x:f>IF(C812="","",MAX(0,ROUND(D812+E812-F812-G812-H812,2)))</x:f>
      </x:c>
      <x:c r="J812" s="88" t="str">
        <x:f>IF(C812="","",F812+G812+H812)</x:f>
      </x:c>
      <x:c r="K812" s="88" t="str">
        <x:f>IF(C812="","",MAX(0,SUMIFS(SONDERZAHLUNGEN!$E$9:$E$128,SONDERZAHLUNGEN!$B$9:$B$128,C812,SONDERZAHLUNGEN!$C$9:$C$128,A812,SONDERZAHLUNGEN!$H$9:$H$128,"OK",SONDERZAHLUNGEN!$F$9:$F$128,"Ja")-G812))</x:f>
      </x:c>
    </x:row>
    <x:row r="813" ht="19" customHeight="1">
      <x:c r="A813" s="90" t="n">
        <x:f>MONATSBUDGET!$A$47</x:f>
        <x:v>47423</x:v>
      </x:c>
      <x:c r="B813" t="n">
        <x:f>14</x:f>
        <x:v>14</x:v>
      </x:c>
      <x:c r="C813" t="str">
        <x:f>IF($N$22="","",$N$22)</x:f>
      </x:c>
      <x:c r="D813" s="88" t="str">
        <x:f>IF(C813="","",I793)</x:f>
      </x:c>
      <x:c r="E813" s="88" t="str">
        <x:f>IF(C813="","",ROUND(D813*$P$22/12,2))</x:f>
      </x:c>
      <x:c r="F813" s="88" t="str">
        <x:f>IF(C813="","",MIN(D813+E813,$Q$22))</x:f>
      </x:c>
      <x:c r="G813" s="88" t="str">
        <x:f>IF(C813="","",MIN(MAX(0,D813+E813-F813),SUMIFS(SONDERZAHLUNGEN!$E$9:$E$128,SONDERZAHLUNGEN!$B$9:$B$128,C813,SONDERZAHLUNGEN!$C$9:$C$128,A813,SONDERZAHLUNGEN!$H$9:$H$128,"OK",SONDERZAHLUNGEN!$F$9:$F$128,"Ja")))</x:f>
      </x:c>
      <x:c r="H813" s="88" t="str">
        <x:f>IF(C813="","",MIN(MAX(0,D813+E813-F813-G813),MAX(0,IF(MONATSBUDGET!$C$47="",0,MONATSBUDGET!$C$47)-SUM(F800:F819)-SUM(H800:H812))))</x:f>
      </x:c>
      <x:c r="I813" s="88" t="str">
        <x:f>IF(C813="","",MAX(0,ROUND(D813+E813-F813-G813-H813,2)))</x:f>
      </x:c>
      <x:c r="J813" s="88" t="str">
        <x:f>IF(C813="","",F813+G813+H813)</x:f>
      </x:c>
      <x:c r="K813" s="88" t="str">
        <x:f>IF(C813="","",MAX(0,SUMIFS(SONDERZAHLUNGEN!$E$9:$E$128,SONDERZAHLUNGEN!$B$9:$B$128,C813,SONDERZAHLUNGEN!$C$9:$C$128,A813,SONDERZAHLUNGEN!$H$9:$H$128,"OK",SONDERZAHLUNGEN!$F$9:$F$128,"Ja")-G813))</x:f>
      </x:c>
    </x:row>
    <x:row r="814" ht="19" customHeight="1">
      <x:c r="A814" s="90" t="n">
        <x:f>MONATSBUDGET!$A$47</x:f>
        <x:v>47423</x:v>
      </x:c>
      <x:c r="B814" t="n">
        <x:f>15</x:f>
        <x:v>15</x:v>
      </x:c>
      <x:c r="C814" t="str">
        <x:f>IF($N$23="","",$N$23)</x:f>
      </x:c>
      <x:c r="D814" s="88" t="str">
        <x:f>IF(C814="","",I794)</x:f>
      </x:c>
      <x:c r="E814" s="88" t="str">
        <x:f>IF(C814="","",ROUND(D814*$P$23/12,2))</x:f>
      </x:c>
      <x:c r="F814" s="88" t="str">
        <x:f>IF(C814="","",MIN(D814+E814,$Q$23))</x:f>
      </x:c>
      <x:c r="G814" s="88" t="str">
        <x:f>IF(C814="","",MIN(MAX(0,D814+E814-F814),SUMIFS(SONDERZAHLUNGEN!$E$9:$E$128,SONDERZAHLUNGEN!$B$9:$B$128,C814,SONDERZAHLUNGEN!$C$9:$C$128,A814,SONDERZAHLUNGEN!$H$9:$H$128,"OK",SONDERZAHLUNGEN!$F$9:$F$128,"Ja")))</x:f>
      </x:c>
      <x:c r="H814" s="88" t="str">
        <x:f>IF(C814="","",MIN(MAX(0,D814+E814-F814-G814),MAX(0,IF(MONATSBUDGET!$C$47="",0,MONATSBUDGET!$C$47)-SUM(F800:F819)-SUM(H800:H813))))</x:f>
      </x:c>
      <x:c r="I814" s="88" t="str">
        <x:f>IF(C814="","",MAX(0,ROUND(D814+E814-F814-G814-H814,2)))</x:f>
      </x:c>
      <x:c r="J814" s="88" t="str">
        <x:f>IF(C814="","",F814+G814+H814)</x:f>
      </x:c>
      <x:c r="K814" s="88" t="str">
        <x:f>IF(C814="","",MAX(0,SUMIFS(SONDERZAHLUNGEN!$E$9:$E$128,SONDERZAHLUNGEN!$B$9:$B$128,C814,SONDERZAHLUNGEN!$C$9:$C$128,A814,SONDERZAHLUNGEN!$H$9:$H$128,"OK",SONDERZAHLUNGEN!$F$9:$F$128,"Ja")-G814))</x:f>
      </x:c>
    </x:row>
    <x:row r="815" ht="19" customHeight="1">
      <x:c r="A815" s="90" t="n">
        <x:f>MONATSBUDGET!$A$47</x:f>
        <x:v>47423</x:v>
      </x:c>
      <x:c r="B815" t="n">
        <x:f>16</x:f>
        <x:v>16</x:v>
      </x:c>
      <x:c r="C815" t="str">
        <x:f>IF($N$24="","",$N$24)</x:f>
      </x:c>
      <x:c r="D815" s="88" t="str">
        <x:f>IF(C815="","",I795)</x:f>
      </x:c>
      <x:c r="E815" s="88" t="str">
        <x:f>IF(C815="","",ROUND(D815*$P$24/12,2))</x:f>
      </x:c>
      <x:c r="F815" s="88" t="str">
        <x:f>IF(C815="","",MIN(D815+E815,$Q$24))</x:f>
      </x:c>
      <x:c r="G815" s="88" t="str">
        <x:f>IF(C815="","",MIN(MAX(0,D815+E815-F815),SUMIFS(SONDERZAHLUNGEN!$E$9:$E$128,SONDERZAHLUNGEN!$B$9:$B$128,C815,SONDERZAHLUNGEN!$C$9:$C$128,A815,SONDERZAHLUNGEN!$H$9:$H$128,"OK",SONDERZAHLUNGEN!$F$9:$F$128,"Ja")))</x:f>
      </x:c>
      <x:c r="H815" s="88" t="str">
        <x:f>IF(C815="","",MIN(MAX(0,D815+E815-F815-G815),MAX(0,IF(MONATSBUDGET!$C$47="",0,MONATSBUDGET!$C$47)-SUM(F800:F819)-SUM(H800:H814))))</x:f>
      </x:c>
      <x:c r="I815" s="88" t="str">
        <x:f>IF(C815="","",MAX(0,ROUND(D815+E815-F815-G815-H815,2)))</x:f>
      </x:c>
      <x:c r="J815" s="88" t="str">
        <x:f>IF(C815="","",F815+G815+H815)</x:f>
      </x:c>
      <x:c r="K815" s="88" t="str">
        <x:f>IF(C815="","",MAX(0,SUMIFS(SONDERZAHLUNGEN!$E$9:$E$128,SONDERZAHLUNGEN!$B$9:$B$128,C815,SONDERZAHLUNGEN!$C$9:$C$128,A815,SONDERZAHLUNGEN!$H$9:$H$128,"OK",SONDERZAHLUNGEN!$F$9:$F$128,"Ja")-G815))</x:f>
      </x:c>
    </x:row>
    <x:row r="816" ht="19" customHeight="1">
      <x:c r="A816" s="90" t="n">
        <x:f>MONATSBUDGET!$A$47</x:f>
        <x:v>47423</x:v>
      </x:c>
      <x:c r="B816" t="n">
        <x:f>17</x:f>
        <x:v>17</x:v>
      </x:c>
      <x:c r="C816" t="str">
        <x:f>IF($N$25="","",$N$25)</x:f>
      </x:c>
      <x:c r="D816" s="88" t="str">
        <x:f>IF(C816="","",I796)</x:f>
      </x:c>
      <x:c r="E816" s="88" t="str">
        <x:f>IF(C816="","",ROUND(D816*$P$25/12,2))</x:f>
      </x:c>
      <x:c r="F816" s="88" t="str">
        <x:f>IF(C816="","",MIN(D816+E816,$Q$25))</x:f>
      </x:c>
      <x:c r="G816" s="88" t="str">
        <x:f>IF(C816="","",MIN(MAX(0,D816+E816-F816),SUMIFS(SONDERZAHLUNGEN!$E$9:$E$128,SONDERZAHLUNGEN!$B$9:$B$128,C816,SONDERZAHLUNGEN!$C$9:$C$128,A816,SONDERZAHLUNGEN!$H$9:$H$128,"OK",SONDERZAHLUNGEN!$F$9:$F$128,"Ja")))</x:f>
      </x:c>
      <x:c r="H816" s="88" t="str">
        <x:f>IF(C816="","",MIN(MAX(0,D816+E816-F816-G816),MAX(0,IF(MONATSBUDGET!$C$47="",0,MONATSBUDGET!$C$47)-SUM(F800:F819)-SUM(H800:H815))))</x:f>
      </x:c>
      <x:c r="I816" s="88" t="str">
        <x:f>IF(C816="","",MAX(0,ROUND(D816+E816-F816-G816-H816,2)))</x:f>
      </x:c>
      <x:c r="J816" s="88" t="str">
        <x:f>IF(C816="","",F816+G816+H816)</x:f>
      </x:c>
      <x:c r="K816" s="88" t="str">
        <x:f>IF(C816="","",MAX(0,SUMIFS(SONDERZAHLUNGEN!$E$9:$E$128,SONDERZAHLUNGEN!$B$9:$B$128,C816,SONDERZAHLUNGEN!$C$9:$C$128,A816,SONDERZAHLUNGEN!$H$9:$H$128,"OK",SONDERZAHLUNGEN!$F$9:$F$128,"Ja")-G816))</x:f>
      </x:c>
    </x:row>
    <x:row r="817" ht="19" customHeight="1">
      <x:c r="A817" s="90" t="n">
        <x:f>MONATSBUDGET!$A$47</x:f>
        <x:v>47423</x:v>
      </x:c>
      <x:c r="B817" t="n">
        <x:f>18</x:f>
        <x:v>18</x:v>
      </x:c>
      <x:c r="C817" t="str">
        <x:f>IF($N$26="","",$N$26)</x:f>
      </x:c>
      <x:c r="D817" s="88" t="str">
        <x:f>IF(C817="","",I797)</x:f>
      </x:c>
      <x:c r="E817" s="88" t="str">
        <x:f>IF(C817="","",ROUND(D817*$P$26/12,2))</x:f>
      </x:c>
      <x:c r="F817" s="88" t="str">
        <x:f>IF(C817="","",MIN(D817+E817,$Q$26))</x:f>
      </x:c>
      <x:c r="G817" s="88" t="str">
        <x:f>IF(C817="","",MIN(MAX(0,D817+E817-F817),SUMIFS(SONDERZAHLUNGEN!$E$9:$E$128,SONDERZAHLUNGEN!$B$9:$B$128,C817,SONDERZAHLUNGEN!$C$9:$C$128,A817,SONDERZAHLUNGEN!$H$9:$H$128,"OK",SONDERZAHLUNGEN!$F$9:$F$128,"Ja")))</x:f>
      </x:c>
      <x:c r="H817" s="88" t="str">
        <x:f>IF(C817="","",MIN(MAX(0,D817+E817-F817-G817),MAX(0,IF(MONATSBUDGET!$C$47="",0,MONATSBUDGET!$C$47)-SUM(F800:F819)-SUM(H800:H816))))</x:f>
      </x:c>
      <x:c r="I817" s="88" t="str">
        <x:f>IF(C817="","",MAX(0,ROUND(D817+E817-F817-G817-H817,2)))</x:f>
      </x:c>
      <x:c r="J817" s="88" t="str">
        <x:f>IF(C817="","",F817+G817+H817)</x:f>
      </x:c>
      <x:c r="K817" s="88" t="str">
        <x:f>IF(C817="","",MAX(0,SUMIFS(SONDERZAHLUNGEN!$E$9:$E$128,SONDERZAHLUNGEN!$B$9:$B$128,C817,SONDERZAHLUNGEN!$C$9:$C$128,A817,SONDERZAHLUNGEN!$H$9:$H$128,"OK",SONDERZAHLUNGEN!$F$9:$F$128,"Ja")-G817))</x:f>
      </x:c>
    </x:row>
    <x:row r="818" ht="19" customHeight="1">
      <x:c r="A818" s="90" t="n">
        <x:f>MONATSBUDGET!$A$47</x:f>
        <x:v>47423</x:v>
      </x:c>
      <x:c r="B818" t="n">
        <x:f>19</x:f>
        <x:v>19</x:v>
      </x:c>
      <x:c r="C818" t="str">
        <x:f>IF($N$27="","",$N$27)</x:f>
      </x:c>
      <x:c r="D818" s="88" t="str">
        <x:f>IF(C818="","",I798)</x:f>
      </x:c>
      <x:c r="E818" s="88" t="str">
        <x:f>IF(C818="","",ROUND(D818*$P$27/12,2))</x:f>
      </x:c>
      <x:c r="F818" s="88" t="str">
        <x:f>IF(C818="","",MIN(D818+E818,$Q$27))</x:f>
      </x:c>
      <x:c r="G818" s="88" t="str">
        <x:f>IF(C818="","",MIN(MAX(0,D818+E818-F818),SUMIFS(SONDERZAHLUNGEN!$E$9:$E$128,SONDERZAHLUNGEN!$B$9:$B$128,C818,SONDERZAHLUNGEN!$C$9:$C$128,A818,SONDERZAHLUNGEN!$H$9:$H$128,"OK",SONDERZAHLUNGEN!$F$9:$F$128,"Ja")))</x:f>
      </x:c>
      <x:c r="H818" s="88" t="str">
        <x:f>IF(C818="","",MIN(MAX(0,D818+E818-F818-G818),MAX(0,IF(MONATSBUDGET!$C$47="",0,MONATSBUDGET!$C$47)-SUM(F800:F819)-SUM(H800:H817))))</x:f>
      </x:c>
      <x:c r="I818" s="88" t="str">
        <x:f>IF(C818="","",MAX(0,ROUND(D818+E818-F818-G818-H818,2)))</x:f>
      </x:c>
      <x:c r="J818" s="88" t="str">
        <x:f>IF(C818="","",F818+G818+H818)</x:f>
      </x:c>
      <x:c r="K818" s="88" t="str">
        <x:f>IF(C818="","",MAX(0,SUMIFS(SONDERZAHLUNGEN!$E$9:$E$128,SONDERZAHLUNGEN!$B$9:$B$128,C818,SONDERZAHLUNGEN!$C$9:$C$128,A818,SONDERZAHLUNGEN!$H$9:$H$128,"OK",SONDERZAHLUNGEN!$F$9:$F$128,"Ja")-G818))</x:f>
      </x:c>
    </x:row>
    <x:row r="819" ht="19" customHeight="1">
      <x:c r="A819" s="90" t="n">
        <x:f>MONATSBUDGET!$A$47</x:f>
        <x:v>47423</x:v>
      </x:c>
      <x:c r="B819" t="n">
        <x:f>20</x:f>
        <x:v>20</x:v>
      </x:c>
      <x:c r="C819" t="str">
        <x:f>IF($N$28="","",$N$28)</x:f>
      </x:c>
      <x:c r="D819" s="88" t="str">
        <x:f>IF(C819="","",I799)</x:f>
      </x:c>
      <x:c r="E819" s="88" t="str">
        <x:f>IF(C819="","",ROUND(D819*$P$28/12,2))</x:f>
      </x:c>
      <x:c r="F819" s="88" t="str">
        <x:f>IF(C819="","",MIN(D819+E819,$Q$28))</x:f>
      </x:c>
      <x:c r="G819" s="88" t="str">
        <x:f>IF(C819="","",MIN(MAX(0,D819+E819-F819),SUMIFS(SONDERZAHLUNGEN!$E$9:$E$128,SONDERZAHLUNGEN!$B$9:$B$128,C819,SONDERZAHLUNGEN!$C$9:$C$128,A819,SONDERZAHLUNGEN!$H$9:$H$128,"OK",SONDERZAHLUNGEN!$F$9:$F$128,"Ja")))</x:f>
      </x:c>
      <x:c r="H819" s="88" t="str">
        <x:f>IF(C819="","",MIN(MAX(0,D819+E819-F819-G819),MAX(0,IF(MONATSBUDGET!$C$47="",0,MONATSBUDGET!$C$47)-SUM(F800:F819)-SUM(H800:H818))))</x:f>
      </x:c>
      <x:c r="I819" s="88" t="str">
        <x:f>IF(C819="","",MAX(0,ROUND(D819+E819-F819-G819-H819,2)))</x:f>
      </x:c>
      <x:c r="J819" s="88" t="str">
        <x:f>IF(C819="","",F819+G819+H819)</x:f>
      </x:c>
      <x:c r="K819" s="88" t="str">
        <x:f>IF(C819="","",MAX(0,SUMIFS(SONDERZAHLUNGEN!$E$9:$E$128,SONDERZAHLUNGEN!$B$9:$B$128,C819,SONDERZAHLUNGEN!$C$9:$C$128,A819,SONDERZAHLUNGEN!$H$9:$H$128,"OK",SONDERZAHLUNGEN!$F$9:$F$128,"Ja")-G819))</x:f>
      </x:c>
    </x:row>
    <x:row r="820" ht="19" customHeight="1">
      <x:c r="A820" s="90" t="n">
        <x:f>MONATSBUDGET!$A$48</x:f>
        <x:v>47453</x:v>
      </x:c>
      <x:c r="B820" t="n">
        <x:f>1</x:f>
        <x:v>1</x:v>
      </x:c>
      <x:c r="C820" t="str">
        <x:f>IF($N$9="","",$N$9)</x:f>
      </x:c>
      <x:c r="D820" s="88" t="str">
        <x:f>IF(C820="","",I800)</x:f>
      </x:c>
      <x:c r="E820" s="88" t="str">
        <x:f>IF(C820="","",ROUND(D820*$P$9/12,2))</x:f>
      </x:c>
      <x:c r="F820" s="88" t="str">
        <x:f>IF(C820="","",MIN(D820+E820,$Q$9))</x:f>
      </x:c>
      <x:c r="G820" s="88" t="str">
        <x:f>IF(C820="","",MIN(MAX(0,D820+E820-F820),SUMIFS(SONDERZAHLUNGEN!$E$9:$E$128,SONDERZAHLUNGEN!$B$9:$B$128,C820,SONDERZAHLUNGEN!$C$9:$C$128,A820,SONDERZAHLUNGEN!$H$9:$H$128,"OK",SONDERZAHLUNGEN!$F$9:$F$128,"Ja")))</x:f>
      </x:c>
      <x:c r="H820" s="88" t="str">
        <x:f>IF(C820="","",MIN(MAX(0,D820+E820-F820-G820),MAX(0,IF(MONATSBUDGET!$C$48="",0,MONATSBUDGET!$C$48)-SUM(F820:F839)-0)))</x:f>
      </x:c>
      <x:c r="I820" s="88" t="str">
        <x:f>IF(C820="","",MAX(0,ROUND(D820+E820-F820-G820-H820,2)))</x:f>
      </x:c>
      <x:c r="J820" s="88" t="str">
        <x:f>IF(C820="","",F820+G820+H820)</x:f>
      </x:c>
      <x:c r="K820" s="88" t="str">
        <x:f>IF(C820="","",MAX(0,SUMIFS(SONDERZAHLUNGEN!$E$9:$E$128,SONDERZAHLUNGEN!$B$9:$B$128,C820,SONDERZAHLUNGEN!$C$9:$C$128,A820,SONDERZAHLUNGEN!$H$9:$H$128,"OK",SONDERZAHLUNGEN!$F$9:$F$128,"Ja")-G820))</x:f>
      </x:c>
    </x:row>
    <x:row r="821" ht="19" customHeight="1">
      <x:c r="A821" s="90" t="n">
        <x:f>MONATSBUDGET!$A$48</x:f>
        <x:v>47453</x:v>
      </x:c>
      <x:c r="B821" t="n">
        <x:f>2</x:f>
        <x:v>2</x:v>
      </x:c>
      <x:c r="C821" t="str">
        <x:f>IF($N$10="","",$N$10)</x:f>
      </x:c>
      <x:c r="D821" s="88" t="str">
        <x:f>IF(C821="","",I801)</x:f>
      </x:c>
      <x:c r="E821" s="88" t="str">
        <x:f>IF(C821="","",ROUND(D821*$P$10/12,2))</x:f>
      </x:c>
      <x:c r="F821" s="88" t="str">
        <x:f>IF(C821="","",MIN(D821+E821,$Q$10))</x:f>
      </x:c>
      <x:c r="G821" s="88" t="str">
        <x:f>IF(C821="","",MIN(MAX(0,D821+E821-F821),SUMIFS(SONDERZAHLUNGEN!$E$9:$E$128,SONDERZAHLUNGEN!$B$9:$B$128,C821,SONDERZAHLUNGEN!$C$9:$C$128,A821,SONDERZAHLUNGEN!$H$9:$H$128,"OK",SONDERZAHLUNGEN!$F$9:$F$128,"Ja")))</x:f>
      </x:c>
      <x:c r="H821" s="88" t="str">
        <x:f>IF(C821="","",MIN(MAX(0,D821+E821-F821-G821),MAX(0,IF(MONATSBUDGET!$C$48="",0,MONATSBUDGET!$C$48)-SUM(F820:F839)-SUM(H820:H820))))</x:f>
      </x:c>
      <x:c r="I821" s="88" t="str">
        <x:f>IF(C821="","",MAX(0,ROUND(D821+E821-F821-G821-H821,2)))</x:f>
      </x:c>
      <x:c r="J821" s="88" t="str">
        <x:f>IF(C821="","",F821+G821+H821)</x:f>
      </x:c>
      <x:c r="K821" s="88" t="str">
        <x:f>IF(C821="","",MAX(0,SUMIFS(SONDERZAHLUNGEN!$E$9:$E$128,SONDERZAHLUNGEN!$B$9:$B$128,C821,SONDERZAHLUNGEN!$C$9:$C$128,A821,SONDERZAHLUNGEN!$H$9:$H$128,"OK",SONDERZAHLUNGEN!$F$9:$F$128,"Ja")-G821))</x:f>
      </x:c>
    </x:row>
    <x:row r="822" ht="19" customHeight="1">
      <x:c r="A822" s="90" t="n">
        <x:f>MONATSBUDGET!$A$48</x:f>
        <x:v>47453</x:v>
      </x:c>
      <x:c r="B822" t="n">
        <x:f>3</x:f>
        <x:v>3</x:v>
      </x:c>
      <x:c r="C822" t="str">
        <x:f>IF($N$11="","",$N$11)</x:f>
      </x:c>
      <x:c r="D822" s="88" t="str">
        <x:f>IF(C822="","",I802)</x:f>
      </x:c>
      <x:c r="E822" s="88" t="str">
        <x:f>IF(C822="","",ROUND(D822*$P$11/12,2))</x:f>
      </x:c>
      <x:c r="F822" s="88" t="str">
        <x:f>IF(C822="","",MIN(D822+E822,$Q$11))</x:f>
      </x:c>
      <x:c r="G822" s="88" t="str">
        <x:f>IF(C822="","",MIN(MAX(0,D822+E822-F822),SUMIFS(SONDERZAHLUNGEN!$E$9:$E$128,SONDERZAHLUNGEN!$B$9:$B$128,C822,SONDERZAHLUNGEN!$C$9:$C$128,A822,SONDERZAHLUNGEN!$H$9:$H$128,"OK",SONDERZAHLUNGEN!$F$9:$F$128,"Ja")))</x:f>
      </x:c>
      <x:c r="H822" s="88" t="str">
        <x:f>IF(C822="","",MIN(MAX(0,D822+E822-F822-G822),MAX(0,IF(MONATSBUDGET!$C$48="",0,MONATSBUDGET!$C$48)-SUM(F820:F839)-SUM(H820:H821))))</x:f>
      </x:c>
      <x:c r="I822" s="88" t="str">
        <x:f>IF(C822="","",MAX(0,ROUND(D822+E822-F822-G822-H822,2)))</x:f>
      </x:c>
      <x:c r="J822" s="88" t="str">
        <x:f>IF(C822="","",F822+G822+H822)</x:f>
      </x:c>
      <x:c r="K822" s="88" t="str">
        <x:f>IF(C822="","",MAX(0,SUMIFS(SONDERZAHLUNGEN!$E$9:$E$128,SONDERZAHLUNGEN!$B$9:$B$128,C822,SONDERZAHLUNGEN!$C$9:$C$128,A822,SONDERZAHLUNGEN!$H$9:$H$128,"OK",SONDERZAHLUNGEN!$F$9:$F$128,"Ja")-G822))</x:f>
      </x:c>
    </x:row>
    <x:row r="823" ht="19" customHeight="1">
      <x:c r="A823" s="90" t="n">
        <x:f>MONATSBUDGET!$A$48</x:f>
        <x:v>47453</x:v>
      </x:c>
      <x:c r="B823" t="n">
        <x:f>4</x:f>
        <x:v>4</x:v>
      </x:c>
      <x:c r="C823" t="str">
        <x:f>IF($N$12="","",$N$12)</x:f>
      </x:c>
      <x:c r="D823" s="88" t="str">
        <x:f>IF(C823="","",I803)</x:f>
      </x:c>
      <x:c r="E823" s="88" t="str">
        <x:f>IF(C823="","",ROUND(D823*$P$12/12,2))</x:f>
      </x:c>
      <x:c r="F823" s="88" t="str">
        <x:f>IF(C823="","",MIN(D823+E823,$Q$12))</x:f>
      </x:c>
      <x:c r="G823" s="88" t="str">
        <x:f>IF(C823="","",MIN(MAX(0,D823+E823-F823),SUMIFS(SONDERZAHLUNGEN!$E$9:$E$128,SONDERZAHLUNGEN!$B$9:$B$128,C823,SONDERZAHLUNGEN!$C$9:$C$128,A823,SONDERZAHLUNGEN!$H$9:$H$128,"OK",SONDERZAHLUNGEN!$F$9:$F$128,"Ja")))</x:f>
      </x:c>
      <x:c r="H823" s="88" t="str">
        <x:f>IF(C823="","",MIN(MAX(0,D823+E823-F823-G823),MAX(0,IF(MONATSBUDGET!$C$48="",0,MONATSBUDGET!$C$48)-SUM(F820:F839)-SUM(H820:H822))))</x:f>
      </x:c>
      <x:c r="I823" s="88" t="str">
        <x:f>IF(C823="","",MAX(0,ROUND(D823+E823-F823-G823-H823,2)))</x:f>
      </x:c>
      <x:c r="J823" s="88" t="str">
        <x:f>IF(C823="","",F823+G823+H823)</x:f>
      </x:c>
      <x:c r="K823" s="88" t="str">
        <x:f>IF(C823="","",MAX(0,SUMIFS(SONDERZAHLUNGEN!$E$9:$E$128,SONDERZAHLUNGEN!$B$9:$B$128,C823,SONDERZAHLUNGEN!$C$9:$C$128,A823,SONDERZAHLUNGEN!$H$9:$H$128,"OK",SONDERZAHLUNGEN!$F$9:$F$128,"Ja")-G823))</x:f>
      </x:c>
    </x:row>
    <x:row r="824" ht="19" customHeight="1">
      <x:c r="A824" s="90" t="n">
        <x:f>MONATSBUDGET!$A$48</x:f>
        <x:v>47453</x:v>
      </x:c>
      <x:c r="B824" t="n">
        <x:f>5</x:f>
        <x:v>5</x:v>
      </x:c>
      <x:c r="C824" t="str">
        <x:f>IF($N$13="","",$N$13)</x:f>
      </x:c>
      <x:c r="D824" s="88" t="str">
        <x:f>IF(C824="","",I804)</x:f>
      </x:c>
      <x:c r="E824" s="88" t="str">
        <x:f>IF(C824="","",ROUND(D824*$P$13/12,2))</x:f>
      </x:c>
      <x:c r="F824" s="88" t="str">
        <x:f>IF(C824="","",MIN(D824+E824,$Q$13))</x:f>
      </x:c>
      <x:c r="G824" s="88" t="str">
        <x:f>IF(C824="","",MIN(MAX(0,D824+E824-F824),SUMIFS(SONDERZAHLUNGEN!$E$9:$E$128,SONDERZAHLUNGEN!$B$9:$B$128,C824,SONDERZAHLUNGEN!$C$9:$C$128,A824,SONDERZAHLUNGEN!$H$9:$H$128,"OK",SONDERZAHLUNGEN!$F$9:$F$128,"Ja")))</x:f>
      </x:c>
      <x:c r="H824" s="88" t="str">
        <x:f>IF(C824="","",MIN(MAX(0,D824+E824-F824-G824),MAX(0,IF(MONATSBUDGET!$C$48="",0,MONATSBUDGET!$C$48)-SUM(F820:F839)-SUM(H820:H823))))</x:f>
      </x:c>
      <x:c r="I824" s="88" t="str">
        <x:f>IF(C824="","",MAX(0,ROUND(D824+E824-F824-G824-H824,2)))</x:f>
      </x:c>
      <x:c r="J824" s="88" t="str">
        <x:f>IF(C824="","",F824+G824+H824)</x:f>
      </x:c>
      <x:c r="K824" s="88" t="str">
        <x:f>IF(C824="","",MAX(0,SUMIFS(SONDERZAHLUNGEN!$E$9:$E$128,SONDERZAHLUNGEN!$B$9:$B$128,C824,SONDERZAHLUNGEN!$C$9:$C$128,A824,SONDERZAHLUNGEN!$H$9:$H$128,"OK",SONDERZAHLUNGEN!$F$9:$F$128,"Ja")-G824))</x:f>
      </x:c>
    </x:row>
    <x:row r="825" ht="19" customHeight="1">
      <x:c r="A825" s="90" t="n">
        <x:f>MONATSBUDGET!$A$48</x:f>
        <x:v>47453</x:v>
      </x:c>
      <x:c r="B825" t="n">
        <x:f>6</x:f>
        <x:v>6</x:v>
      </x:c>
      <x:c r="C825" t="str">
        <x:f>IF($N$14="","",$N$14)</x:f>
      </x:c>
      <x:c r="D825" s="88" t="str">
        <x:f>IF(C825="","",I805)</x:f>
      </x:c>
      <x:c r="E825" s="88" t="str">
        <x:f>IF(C825="","",ROUND(D825*$P$14/12,2))</x:f>
      </x:c>
      <x:c r="F825" s="88" t="str">
        <x:f>IF(C825="","",MIN(D825+E825,$Q$14))</x:f>
      </x:c>
      <x:c r="G825" s="88" t="str">
        <x:f>IF(C825="","",MIN(MAX(0,D825+E825-F825),SUMIFS(SONDERZAHLUNGEN!$E$9:$E$128,SONDERZAHLUNGEN!$B$9:$B$128,C825,SONDERZAHLUNGEN!$C$9:$C$128,A825,SONDERZAHLUNGEN!$H$9:$H$128,"OK",SONDERZAHLUNGEN!$F$9:$F$128,"Ja")))</x:f>
      </x:c>
      <x:c r="H825" s="88" t="str">
        <x:f>IF(C825="","",MIN(MAX(0,D825+E825-F825-G825),MAX(0,IF(MONATSBUDGET!$C$48="",0,MONATSBUDGET!$C$48)-SUM(F820:F839)-SUM(H820:H824))))</x:f>
      </x:c>
      <x:c r="I825" s="88" t="str">
        <x:f>IF(C825="","",MAX(0,ROUND(D825+E825-F825-G825-H825,2)))</x:f>
      </x:c>
      <x:c r="J825" s="88" t="str">
        <x:f>IF(C825="","",F825+G825+H825)</x:f>
      </x:c>
      <x:c r="K825" s="88" t="str">
        <x:f>IF(C825="","",MAX(0,SUMIFS(SONDERZAHLUNGEN!$E$9:$E$128,SONDERZAHLUNGEN!$B$9:$B$128,C825,SONDERZAHLUNGEN!$C$9:$C$128,A825,SONDERZAHLUNGEN!$H$9:$H$128,"OK",SONDERZAHLUNGEN!$F$9:$F$128,"Ja")-G825))</x:f>
      </x:c>
    </x:row>
    <x:row r="826" ht="19" customHeight="1">
      <x:c r="A826" s="90" t="n">
        <x:f>MONATSBUDGET!$A$48</x:f>
        <x:v>47453</x:v>
      </x:c>
      <x:c r="B826" t="n">
        <x:f>7</x:f>
        <x:v>7</x:v>
      </x:c>
      <x:c r="C826" t="str">
        <x:f>IF($N$15="","",$N$15)</x:f>
      </x:c>
      <x:c r="D826" s="88" t="str">
        <x:f>IF(C826="","",I806)</x:f>
      </x:c>
      <x:c r="E826" s="88" t="str">
        <x:f>IF(C826="","",ROUND(D826*$P$15/12,2))</x:f>
      </x:c>
      <x:c r="F826" s="88" t="str">
        <x:f>IF(C826="","",MIN(D826+E826,$Q$15))</x:f>
      </x:c>
      <x:c r="G826" s="88" t="str">
        <x:f>IF(C826="","",MIN(MAX(0,D826+E826-F826),SUMIFS(SONDERZAHLUNGEN!$E$9:$E$128,SONDERZAHLUNGEN!$B$9:$B$128,C826,SONDERZAHLUNGEN!$C$9:$C$128,A826,SONDERZAHLUNGEN!$H$9:$H$128,"OK",SONDERZAHLUNGEN!$F$9:$F$128,"Ja")))</x:f>
      </x:c>
      <x:c r="H826" s="88" t="str">
        <x:f>IF(C826="","",MIN(MAX(0,D826+E826-F826-G826),MAX(0,IF(MONATSBUDGET!$C$48="",0,MONATSBUDGET!$C$48)-SUM(F820:F839)-SUM(H820:H825))))</x:f>
      </x:c>
      <x:c r="I826" s="88" t="str">
        <x:f>IF(C826="","",MAX(0,ROUND(D826+E826-F826-G826-H826,2)))</x:f>
      </x:c>
      <x:c r="J826" s="88" t="str">
        <x:f>IF(C826="","",F826+G826+H826)</x:f>
      </x:c>
      <x:c r="K826" s="88" t="str">
        <x:f>IF(C826="","",MAX(0,SUMIFS(SONDERZAHLUNGEN!$E$9:$E$128,SONDERZAHLUNGEN!$B$9:$B$128,C826,SONDERZAHLUNGEN!$C$9:$C$128,A826,SONDERZAHLUNGEN!$H$9:$H$128,"OK",SONDERZAHLUNGEN!$F$9:$F$128,"Ja")-G826))</x:f>
      </x:c>
    </x:row>
    <x:row r="827" ht="19" customHeight="1">
      <x:c r="A827" s="90" t="n">
        <x:f>MONATSBUDGET!$A$48</x:f>
        <x:v>47453</x:v>
      </x:c>
      <x:c r="B827" t="n">
        <x:f>8</x:f>
        <x:v>8</x:v>
      </x:c>
      <x:c r="C827" t="str">
        <x:f>IF($N$16="","",$N$16)</x:f>
      </x:c>
      <x:c r="D827" s="88" t="str">
        <x:f>IF(C827="","",I807)</x:f>
      </x:c>
      <x:c r="E827" s="88" t="str">
        <x:f>IF(C827="","",ROUND(D827*$P$16/12,2))</x:f>
      </x:c>
      <x:c r="F827" s="88" t="str">
        <x:f>IF(C827="","",MIN(D827+E827,$Q$16))</x:f>
      </x:c>
      <x:c r="G827" s="88" t="str">
        <x:f>IF(C827="","",MIN(MAX(0,D827+E827-F827),SUMIFS(SONDERZAHLUNGEN!$E$9:$E$128,SONDERZAHLUNGEN!$B$9:$B$128,C827,SONDERZAHLUNGEN!$C$9:$C$128,A827,SONDERZAHLUNGEN!$H$9:$H$128,"OK",SONDERZAHLUNGEN!$F$9:$F$128,"Ja")))</x:f>
      </x:c>
      <x:c r="H827" s="88" t="str">
        <x:f>IF(C827="","",MIN(MAX(0,D827+E827-F827-G827),MAX(0,IF(MONATSBUDGET!$C$48="",0,MONATSBUDGET!$C$48)-SUM(F820:F839)-SUM(H820:H826))))</x:f>
      </x:c>
      <x:c r="I827" s="88" t="str">
        <x:f>IF(C827="","",MAX(0,ROUND(D827+E827-F827-G827-H827,2)))</x:f>
      </x:c>
      <x:c r="J827" s="88" t="str">
        <x:f>IF(C827="","",F827+G827+H827)</x:f>
      </x:c>
      <x:c r="K827" s="88" t="str">
        <x:f>IF(C827="","",MAX(0,SUMIFS(SONDERZAHLUNGEN!$E$9:$E$128,SONDERZAHLUNGEN!$B$9:$B$128,C827,SONDERZAHLUNGEN!$C$9:$C$128,A827,SONDERZAHLUNGEN!$H$9:$H$128,"OK",SONDERZAHLUNGEN!$F$9:$F$128,"Ja")-G827))</x:f>
      </x:c>
    </x:row>
    <x:row r="828" ht="19" customHeight="1">
      <x:c r="A828" s="90" t="n">
        <x:f>MONATSBUDGET!$A$48</x:f>
        <x:v>47453</x:v>
      </x:c>
      <x:c r="B828" t="n">
        <x:f>9</x:f>
        <x:v>9</x:v>
      </x:c>
      <x:c r="C828" t="str">
        <x:f>IF($N$17="","",$N$17)</x:f>
      </x:c>
      <x:c r="D828" s="88" t="str">
        <x:f>IF(C828="","",I808)</x:f>
      </x:c>
      <x:c r="E828" s="88" t="str">
        <x:f>IF(C828="","",ROUND(D828*$P$17/12,2))</x:f>
      </x:c>
      <x:c r="F828" s="88" t="str">
        <x:f>IF(C828="","",MIN(D828+E828,$Q$17))</x:f>
      </x:c>
      <x:c r="G828" s="88" t="str">
        <x:f>IF(C828="","",MIN(MAX(0,D828+E828-F828),SUMIFS(SONDERZAHLUNGEN!$E$9:$E$128,SONDERZAHLUNGEN!$B$9:$B$128,C828,SONDERZAHLUNGEN!$C$9:$C$128,A828,SONDERZAHLUNGEN!$H$9:$H$128,"OK",SONDERZAHLUNGEN!$F$9:$F$128,"Ja")))</x:f>
      </x:c>
      <x:c r="H828" s="88" t="str">
        <x:f>IF(C828="","",MIN(MAX(0,D828+E828-F828-G828),MAX(0,IF(MONATSBUDGET!$C$48="",0,MONATSBUDGET!$C$48)-SUM(F820:F839)-SUM(H820:H827))))</x:f>
      </x:c>
      <x:c r="I828" s="88" t="str">
        <x:f>IF(C828="","",MAX(0,ROUND(D828+E828-F828-G828-H828,2)))</x:f>
      </x:c>
      <x:c r="J828" s="88" t="str">
        <x:f>IF(C828="","",F828+G828+H828)</x:f>
      </x:c>
      <x:c r="K828" s="88" t="str">
        <x:f>IF(C828="","",MAX(0,SUMIFS(SONDERZAHLUNGEN!$E$9:$E$128,SONDERZAHLUNGEN!$B$9:$B$128,C828,SONDERZAHLUNGEN!$C$9:$C$128,A828,SONDERZAHLUNGEN!$H$9:$H$128,"OK",SONDERZAHLUNGEN!$F$9:$F$128,"Ja")-G828))</x:f>
      </x:c>
    </x:row>
    <x:row r="829" ht="19" customHeight="1">
      <x:c r="A829" s="90" t="n">
        <x:f>MONATSBUDGET!$A$48</x:f>
        <x:v>47453</x:v>
      </x:c>
      <x:c r="B829" t="n">
        <x:f>10</x:f>
        <x:v>10</x:v>
      </x:c>
      <x:c r="C829" t="str">
        <x:f>IF($N$18="","",$N$18)</x:f>
      </x:c>
      <x:c r="D829" s="88" t="str">
        <x:f>IF(C829="","",I809)</x:f>
      </x:c>
      <x:c r="E829" s="88" t="str">
        <x:f>IF(C829="","",ROUND(D829*$P$18/12,2))</x:f>
      </x:c>
      <x:c r="F829" s="88" t="str">
        <x:f>IF(C829="","",MIN(D829+E829,$Q$18))</x:f>
      </x:c>
      <x:c r="G829" s="88" t="str">
        <x:f>IF(C829="","",MIN(MAX(0,D829+E829-F829),SUMIFS(SONDERZAHLUNGEN!$E$9:$E$128,SONDERZAHLUNGEN!$B$9:$B$128,C829,SONDERZAHLUNGEN!$C$9:$C$128,A829,SONDERZAHLUNGEN!$H$9:$H$128,"OK",SONDERZAHLUNGEN!$F$9:$F$128,"Ja")))</x:f>
      </x:c>
      <x:c r="H829" s="88" t="str">
        <x:f>IF(C829="","",MIN(MAX(0,D829+E829-F829-G829),MAX(0,IF(MONATSBUDGET!$C$48="",0,MONATSBUDGET!$C$48)-SUM(F820:F839)-SUM(H820:H828))))</x:f>
      </x:c>
      <x:c r="I829" s="88" t="str">
        <x:f>IF(C829="","",MAX(0,ROUND(D829+E829-F829-G829-H829,2)))</x:f>
      </x:c>
      <x:c r="J829" s="88" t="str">
        <x:f>IF(C829="","",F829+G829+H829)</x:f>
      </x:c>
      <x:c r="K829" s="88" t="str">
        <x:f>IF(C829="","",MAX(0,SUMIFS(SONDERZAHLUNGEN!$E$9:$E$128,SONDERZAHLUNGEN!$B$9:$B$128,C829,SONDERZAHLUNGEN!$C$9:$C$128,A829,SONDERZAHLUNGEN!$H$9:$H$128,"OK",SONDERZAHLUNGEN!$F$9:$F$128,"Ja")-G829))</x:f>
      </x:c>
    </x:row>
    <x:row r="830" ht="19" customHeight="1">
      <x:c r="A830" s="90" t="n">
        <x:f>MONATSBUDGET!$A$48</x:f>
        <x:v>47453</x:v>
      </x:c>
      <x:c r="B830" t="n">
        <x:f>11</x:f>
        <x:v>11</x:v>
      </x:c>
      <x:c r="C830" t="str">
        <x:f>IF($N$19="","",$N$19)</x:f>
      </x:c>
      <x:c r="D830" s="88" t="str">
        <x:f>IF(C830="","",I810)</x:f>
      </x:c>
      <x:c r="E830" s="88" t="str">
        <x:f>IF(C830="","",ROUND(D830*$P$19/12,2))</x:f>
      </x:c>
      <x:c r="F830" s="88" t="str">
        <x:f>IF(C830="","",MIN(D830+E830,$Q$19))</x:f>
      </x:c>
      <x:c r="G830" s="88" t="str">
        <x:f>IF(C830="","",MIN(MAX(0,D830+E830-F830),SUMIFS(SONDERZAHLUNGEN!$E$9:$E$128,SONDERZAHLUNGEN!$B$9:$B$128,C830,SONDERZAHLUNGEN!$C$9:$C$128,A830,SONDERZAHLUNGEN!$H$9:$H$128,"OK",SONDERZAHLUNGEN!$F$9:$F$128,"Ja")))</x:f>
      </x:c>
      <x:c r="H830" s="88" t="str">
        <x:f>IF(C830="","",MIN(MAX(0,D830+E830-F830-G830),MAX(0,IF(MONATSBUDGET!$C$48="",0,MONATSBUDGET!$C$48)-SUM(F820:F839)-SUM(H820:H829))))</x:f>
      </x:c>
      <x:c r="I830" s="88" t="str">
        <x:f>IF(C830="","",MAX(0,ROUND(D830+E830-F830-G830-H830,2)))</x:f>
      </x:c>
      <x:c r="J830" s="88" t="str">
        <x:f>IF(C830="","",F830+G830+H830)</x:f>
      </x:c>
      <x:c r="K830" s="88" t="str">
        <x:f>IF(C830="","",MAX(0,SUMIFS(SONDERZAHLUNGEN!$E$9:$E$128,SONDERZAHLUNGEN!$B$9:$B$128,C830,SONDERZAHLUNGEN!$C$9:$C$128,A830,SONDERZAHLUNGEN!$H$9:$H$128,"OK",SONDERZAHLUNGEN!$F$9:$F$128,"Ja")-G830))</x:f>
      </x:c>
    </x:row>
    <x:row r="831" ht="19" customHeight="1">
      <x:c r="A831" s="90" t="n">
        <x:f>MONATSBUDGET!$A$48</x:f>
        <x:v>47453</x:v>
      </x:c>
      <x:c r="B831" t="n">
        <x:f>12</x:f>
        <x:v>12</x:v>
      </x:c>
      <x:c r="C831" t="str">
        <x:f>IF($N$20="","",$N$20)</x:f>
      </x:c>
      <x:c r="D831" s="88" t="str">
        <x:f>IF(C831="","",I811)</x:f>
      </x:c>
      <x:c r="E831" s="88" t="str">
        <x:f>IF(C831="","",ROUND(D831*$P$20/12,2))</x:f>
      </x:c>
      <x:c r="F831" s="88" t="str">
        <x:f>IF(C831="","",MIN(D831+E831,$Q$20))</x:f>
      </x:c>
      <x:c r="G831" s="88" t="str">
        <x:f>IF(C831="","",MIN(MAX(0,D831+E831-F831),SUMIFS(SONDERZAHLUNGEN!$E$9:$E$128,SONDERZAHLUNGEN!$B$9:$B$128,C831,SONDERZAHLUNGEN!$C$9:$C$128,A831,SONDERZAHLUNGEN!$H$9:$H$128,"OK",SONDERZAHLUNGEN!$F$9:$F$128,"Ja")))</x:f>
      </x:c>
      <x:c r="H831" s="88" t="str">
        <x:f>IF(C831="","",MIN(MAX(0,D831+E831-F831-G831),MAX(0,IF(MONATSBUDGET!$C$48="",0,MONATSBUDGET!$C$48)-SUM(F820:F839)-SUM(H820:H830))))</x:f>
      </x:c>
      <x:c r="I831" s="88" t="str">
        <x:f>IF(C831="","",MAX(0,ROUND(D831+E831-F831-G831-H831,2)))</x:f>
      </x:c>
      <x:c r="J831" s="88" t="str">
        <x:f>IF(C831="","",F831+G831+H831)</x:f>
      </x:c>
      <x:c r="K831" s="88" t="str">
        <x:f>IF(C831="","",MAX(0,SUMIFS(SONDERZAHLUNGEN!$E$9:$E$128,SONDERZAHLUNGEN!$B$9:$B$128,C831,SONDERZAHLUNGEN!$C$9:$C$128,A831,SONDERZAHLUNGEN!$H$9:$H$128,"OK",SONDERZAHLUNGEN!$F$9:$F$128,"Ja")-G831))</x:f>
      </x:c>
    </x:row>
    <x:row r="832" ht="19" customHeight="1">
      <x:c r="A832" s="90" t="n">
        <x:f>MONATSBUDGET!$A$48</x:f>
        <x:v>47453</x:v>
      </x:c>
      <x:c r="B832" t="n">
        <x:f>13</x:f>
        <x:v>13</x:v>
      </x:c>
      <x:c r="C832" t="str">
        <x:f>IF($N$21="","",$N$21)</x:f>
      </x:c>
      <x:c r="D832" s="88" t="str">
        <x:f>IF(C832="","",I812)</x:f>
      </x:c>
      <x:c r="E832" s="88" t="str">
        <x:f>IF(C832="","",ROUND(D832*$P$21/12,2))</x:f>
      </x:c>
      <x:c r="F832" s="88" t="str">
        <x:f>IF(C832="","",MIN(D832+E832,$Q$21))</x:f>
      </x:c>
      <x:c r="G832" s="88" t="str">
        <x:f>IF(C832="","",MIN(MAX(0,D832+E832-F832),SUMIFS(SONDERZAHLUNGEN!$E$9:$E$128,SONDERZAHLUNGEN!$B$9:$B$128,C832,SONDERZAHLUNGEN!$C$9:$C$128,A832,SONDERZAHLUNGEN!$H$9:$H$128,"OK",SONDERZAHLUNGEN!$F$9:$F$128,"Ja")))</x:f>
      </x:c>
      <x:c r="H832" s="88" t="str">
        <x:f>IF(C832="","",MIN(MAX(0,D832+E832-F832-G832),MAX(0,IF(MONATSBUDGET!$C$48="",0,MONATSBUDGET!$C$48)-SUM(F820:F839)-SUM(H820:H831))))</x:f>
      </x:c>
      <x:c r="I832" s="88" t="str">
        <x:f>IF(C832="","",MAX(0,ROUND(D832+E832-F832-G832-H832,2)))</x:f>
      </x:c>
      <x:c r="J832" s="88" t="str">
        <x:f>IF(C832="","",F832+G832+H832)</x:f>
      </x:c>
      <x:c r="K832" s="88" t="str">
        <x:f>IF(C832="","",MAX(0,SUMIFS(SONDERZAHLUNGEN!$E$9:$E$128,SONDERZAHLUNGEN!$B$9:$B$128,C832,SONDERZAHLUNGEN!$C$9:$C$128,A832,SONDERZAHLUNGEN!$H$9:$H$128,"OK",SONDERZAHLUNGEN!$F$9:$F$128,"Ja")-G832))</x:f>
      </x:c>
    </x:row>
    <x:row r="833" ht="19" customHeight="1">
      <x:c r="A833" s="90" t="n">
        <x:f>MONATSBUDGET!$A$48</x:f>
        <x:v>47453</x:v>
      </x:c>
      <x:c r="B833" t="n">
        <x:f>14</x:f>
        <x:v>14</x:v>
      </x:c>
      <x:c r="C833" t="str">
        <x:f>IF($N$22="","",$N$22)</x:f>
      </x:c>
      <x:c r="D833" s="88" t="str">
        <x:f>IF(C833="","",I813)</x:f>
      </x:c>
      <x:c r="E833" s="88" t="str">
        <x:f>IF(C833="","",ROUND(D833*$P$22/12,2))</x:f>
      </x:c>
      <x:c r="F833" s="88" t="str">
        <x:f>IF(C833="","",MIN(D833+E833,$Q$22))</x:f>
      </x:c>
      <x:c r="G833" s="88" t="str">
        <x:f>IF(C833="","",MIN(MAX(0,D833+E833-F833),SUMIFS(SONDERZAHLUNGEN!$E$9:$E$128,SONDERZAHLUNGEN!$B$9:$B$128,C833,SONDERZAHLUNGEN!$C$9:$C$128,A833,SONDERZAHLUNGEN!$H$9:$H$128,"OK",SONDERZAHLUNGEN!$F$9:$F$128,"Ja")))</x:f>
      </x:c>
      <x:c r="H833" s="88" t="str">
        <x:f>IF(C833="","",MIN(MAX(0,D833+E833-F833-G833),MAX(0,IF(MONATSBUDGET!$C$48="",0,MONATSBUDGET!$C$48)-SUM(F820:F839)-SUM(H820:H832))))</x:f>
      </x:c>
      <x:c r="I833" s="88" t="str">
        <x:f>IF(C833="","",MAX(0,ROUND(D833+E833-F833-G833-H833,2)))</x:f>
      </x:c>
      <x:c r="J833" s="88" t="str">
        <x:f>IF(C833="","",F833+G833+H833)</x:f>
      </x:c>
      <x:c r="K833" s="88" t="str">
        <x:f>IF(C833="","",MAX(0,SUMIFS(SONDERZAHLUNGEN!$E$9:$E$128,SONDERZAHLUNGEN!$B$9:$B$128,C833,SONDERZAHLUNGEN!$C$9:$C$128,A833,SONDERZAHLUNGEN!$H$9:$H$128,"OK",SONDERZAHLUNGEN!$F$9:$F$128,"Ja")-G833))</x:f>
      </x:c>
    </x:row>
    <x:row r="834" ht="19" customHeight="1">
      <x:c r="A834" s="90" t="n">
        <x:f>MONATSBUDGET!$A$48</x:f>
        <x:v>47453</x:v>
      </x:c>
      <x:c r="B834" t="n">
        <x:f>15</x:f>
        <x:v>15</x:v>
      </x:c>
      <x:c r="C834" t="str">
        <x:f>IF($N$23="","",$N$23)</x:f>
      </x:c>
      <x:c r="D834" s="88" t="str">
        <x:f>IF(C834="","",I814)</x:f>
      </x:c>
      <x:c r="E834" s="88" t="str">
        <x:f>IF(C834="","",ROUND(D834*$P$23/12,2))</x:f>
      </x:c>
      <x:c r="F834" s="88" t="str">
        <x:f>IF(C834="","",MIN(D834+E834,$Q$23))</x:f>
      </x:c>
      <x:c r="G834" s="88" t="str">
        <x:f>IF(C834="","",MIN(MAX(0,D834+E834-F834),SUMIFS(SONDERZAHLUNGEN!$E$9:$E$128,SONDERZAHLUNGEN!$B$9:$B$128,C834,SONDERZAHLUNGEN!$C$9:$C$128,A834,SONDERZAHLUNGEN!$H$9:$H$128,"OK",SONDERZAHLUNGEN!$F$9:$F$128,"Ja")))</x:f>
      </x:c>
      <x:c r="H834" s="88" t="str">
        <x:f>IF(C834="","",MIN(MAX(0,D834+E834-F834-G834),MAX(0,IF(MONATSBUDGET!$C$48="",0,MONATSBUDGET!$C$48)-SUM(F820:F839)-SUM(H820:H833))))</x:f>
      </x:c>
      <x:c r="I834" s="88" t="str">
        <x:f>IF(C834="","",MAX(0,ROUND(D834+E834-F834-G834-H834,2)))</x:f>
      </x:c>
      <x:c r="J834" s="88" t="str">
        <x:f>IF(C834="","",F834+G834+H834)</x:f>
      </x:c>
      <x:c r="K834" s="88" t="str">
        <x:f>IF(C834="","",MAX(0,SUMIFS(SONDERZAHLUNGEN!$E$9:$E$128,SONDERZAHLUNGEN!$B$9:$B$128,C834,SONDERZAHLUNGEN!$C$9:$C$128,A834,SONDERZAHLUNGEN!$H$9:$H$128,"OK",SONDERZAHLUNGEN!$F$9:$F$128,"Ja")-G834))</x:f>
      </x:c>
    </x:row>
    <x:row r="835" ht="19" customHeight="1">
      <x:c r="A835" s="90" t="n">
        <x:f>MONATSBUDGET!$A$48</x:f>
        <x:v>47453</x:v>
      </x:c>
      <x:c r="B835" t="n">
        <x:f>16</x:f>
        <x:v>16</x:v>
      </x:c>
      <x:c r="C835" t="str">
        <x:f>IF($N$24="","",$N$24)</x:f>
      </x:c>
      <x:c r="D835" s="88" t="str">
        <x:f>IF(C835="","",I815)</x:f>
      </x:c>
      <x:c r="E835" s="88" t="str">
        <x:f>IF(C835="","",ROUND(D835*$P$24/12,2))</x:f>
      </x:c>
      <x:c r="F835" s="88" t="str">
        <x:f>IF(C835="","",MIN(D835+E835,$Q$24))</x:f>
      </x:c>
      <x:c r="G835" s="88" t="str">
        <x:f>IF(C835="","",MIN(MAX(0,D835+E835-F835),SUMIFS(SONDERZAHLUNGEN!$E$9:$E$128,SONDERZAHLUNGEN!$B$9:$B$128,C835,SONDERZAHLUNGEN!$C$9:$C$128,A835,SONDERZAHLUNGEN!$H$9:$H$128,"OK",SONDERZAHLUNGEN!$F$9:$F$128,"Ja")))</x:f>
      </x:c>
      <x:c r="H835" s="88" t="str">
        <x:f>IF(C835="","",MIN(MAX(0,D835+E835-F835-G835),MAX(0,IF(MONATSBUDGET!$C$48="",0,MONATSBUDGET!$C$48)-SUM(F820:F839)-SUM(H820:H834))))</x:f>
      </x:c>
      <x:c r="I835" s="88" t="str">
        <x:f>IF(C835="","",MAX(0,ROUND(D835+E835-F835-G835-H835,2)))</x:f>
      </x:c>
      <x:c r="J835" s="88" t="str">
        <x:f>IF(C835="","",F835+G835+H835)</x:f>
      </x:c>
      <x:c r="K835" s="88" t="str">
        <x:f>IF(C835="","",MAX(0,SUMIFS(SONDERZAHLUNGEN!$E$9:$E$128,SONDERZAHLUNGEN!$B$9:$B$128,C835,SONDERZAHLUNGEN!$C$9:$C$128,A835,SONDERZAHLUNGEN!$H$9:$H$128,"OK",SONDERZAHLUNGEN!$F$9:$F$128,"Ja")-G835))</x:f>
      </x:c>
    </x:row>
    <x:row r="836" ht="19" customHeight="1">
      <x:c r="A836" s="90" t="n">
        <x:f>MONATSBUDGET!$A$48</x:f>
        <x:v>47453</x:v>
      </x:c>
      <x:c r="B836" t="n">
        <x:f>17</x:f>
        <x:v>17</x:v>
      </x:c>
      <x:c r="C836" t="str">
        <x:f>IF($N$25="","",$N$25)</x:f>
      </x:c>
      <x:c r="D836" s="88" t="str">
        <x:f>IF(C836="","",I816)</x:f>
      </x:c>
      <x:c r="E836" s="88" t="str">
        <x:f>IF(C836="","",ROUND(D836*$P$25/12,2))</x:f>
      </x:c>
      <x:c r="F836" s="88" t="str">
        <x:f>IF(C836="","",MIN(D836+E836,$Q$25))</x:f>
      </x:c>
      <x:c r="G836" s="88" t="str">
        <x:f>IF(C836="","",MIN(MAX(0,D836+E836-F836),SUMIFS(SONDERZAHLUNGEN!$E$9:$E$128,SONDERZAHLUNGEN!$B$9:$B$128,C836,SONDERZAHLUNGEN!$C$9:$C$128,A836,SONDERZAHLUNGEN!$H$9:$H$128,"OK",SONDERZAHLUNGEN!$F$9:$F$128,"Ja")))</x:f>
      </x:c>
      <x:c r="H836" s="88" t="str">
        <x:f>IF(C836="","",MIN(MAX(0,D836+E836-F836-G836),MAX(0,IF(MONATSBUDGET!$C$48="",0,MONATSBUDGET!$C$48)-SUM(F820:F839)-SUM(H820:H835))))</x:f>
      </x:c>
      <x:c r="I836" s="88" t="str">
        <x:f>IF(C836="","",MAX(0,ROUND(D836+E836-F836-G836-H836,2)))</x:f>
      </x:c>
      <x:c r="J836" s="88" t="str">
        <x:f>IF(C836="","",F836+G836+H836)</x:f>
      </x:c>
      <x:c r="K836" s="88" t="str">
        <x:f>IF(C836="","",MAX(0,SUMIFS(SONDERZAHLUNGEN!$E$9:$E$128,SONDERZAHLUNGEN!$B$9:$B$128,C836,SONDERZAHLUNGEN!$C$9:$C$128,A836,SONDERZAHLUNGEN!$H$9:$H$128,"OK",SONDERZAHLUNGEN!$F$9:$F$128,"Ja")-G836))</x:f>
      </x:c>
    </x:row>
    <x:row r="837" ht="19" customHeight="1">
      <x:c r="A837" s="90" t="n">
        <x:f>MONATSBUDGET!$A$48</x:f>
        <x:v>47453</x:v>
      </x:c>
      <x:c r="B837" t="n">
        <x:f>18</x:f>
        <x:v>18</x:v>
      </x:c>
      <x:c r="C837" t="str">
        <x:f>IF($N$26="","",$N$26)</x:f>
      </x:c>
      <x:c r="D837" s="88" t="str">
        <x:f>IF(C837="","",I817)</x:f>
      </x:c>
      <x:c r="E837" s="88" t="str">
        <x:f>IF(C837="","",ROUND(D837*$P$26/12,2))</x:f>
      </x:c>
      <x:c r="F837" s="88" t="str">
        <x:f>IF(C837="","",MIN(D837+E837,$Q$26))</x:f>
      </x:c>
      <x:c r="G837" s="88" t="str">
        <x:f>IF(C837="","",MIN(MAX(0,D837+E837-F837),SUMIFS(SONDERZAHLUNGEN!$E$9:$E$128,SONDERZAHLUNGEN!$B$9:$B$128,C837,SONDERZAHLUNGEN!$C$9:$C$128,A837,SONDERZAHLUNGEN!$H$9:$H$128,"OK",SONDERZAHLUNGEN!$F$9:$F$128,"Ja")))</x:f>
      </x:c>
      <x:c r="H837" s="88" t="str">
        <x:f>IF(C837="","",MIN(MAX(0,D837+E837-F837-G837),MAX(0,IF(MONATSBUDGET!$C$48="",0,MONATSBUDGET!$C$48)-SUM(F820:F839)-SUM(H820:H836))))</x:f>
      </x:c>
      <x:c r="I837" s="88" t="str">
        <x:f>IF(C837="","",MAX(0,ROUND(D837+E837-F837-G837-H837,2)))</x:f>
      </x:c>
      <x:c r="J837" s="88" t="str">
        <x:f>IF(C837="","",F837+G837+H837)</x:f>
      </x:c>
      <x:c r="K837" s="88" t="str">
        <x:f>IF(C837="","",MAX(0,SUMIFS(SONDERZAHLUNGEN!$E$9:$E$128,SONDERZAHLUNGEN!$B$9:$B$128,C837,SONDERZAHLUNGEN!$C$9:$C$128,A837,SONDERZAHLUNGEN!$H$9:$H$128,"OK",SONDERZAHLUNGEN!$F$9:$F$128,"Ja")-G837))</x:f>
      </x:c>
    </x:row>
    <x:row r="838" ht="19" customHeight="1">
      <x:c r="A838" s="90" t="n">
        <x:f>MONATSBUDGET!$A$48</x:f>
        <x:v>47453</x:v>
      </x:c>
      <x:c r="B838" t="n">
        <x:f>19</x:f>
        <x:v>19</x:v>
      </x:c>
      <x:c r="C838" t="str">
        <x:f>IF($N$27="","",$N$27)</x:f>
      </x:c>
      <x:c r="D838" s="88" t="str">
        <x:f>IF(C838="","",I818)</x:f>
      </x:c>
      <x:c r="E838" s="88" t="str">
        <x:f>IF(C838="","",ROUND(D838*$P$27/12,2))</x:f>
      </x:c>
      <x:c r="F838" s="88" t="str">
        <x:f>IF(C838="","",MIN(D838+E838,$Q$27))</x:f>
      </x:c>
      <x:c r="G838" s="88" t="str">
        <x:f>IF(C838="","",MIN(MAX(0,D838+E838-F838),SUMIFS(SONDERZAHLUNGEN!$E$9:$E$128,SONDERZAHLUNGEN!$B$9:$B$128,C838,SONDERZAHLUNGEN!$C$9:$C$128,A838,SONDERZAHLUNGEN!$H$9:$H$128,"OK",SONDERZAHLUNGEN!$F$9:$F$128,"Ja")))</x:f>
      </x:c>
      <x:c r="H838" s="88" t="str">
        <x:f>IF(C838="","",MIN(MAX(0,D838+E838-F838-G838),MAX(0,IF(MONATSBUDGET!$C$48="",0,MONATSBUDGET!$C$48)-SUM(F820:F839)-SUM(H820:H837))))</x:f>
      </x:c>
      <x:c r="I838" s="88" t="str">
        <x:f>IF(C838="","",MAX(0,ROUND(D838+E838-F838-G838-H838,2)))</x:f>
      </x:c>
      <x:c r="J838" s="88" t="str">
        <x:f>IF(C838="","",F838+G838+H838)</x:f>
      </x:c>
      <x:c r="K838" s="88" t="str">
        <x:f>IF(C838="","",MAX(0,SUMIFS(SONDERZAHLUNGEN!$E$9:$E$128,SONDERZAHLUNGEN!$B$9:$B$128,C838,SONDERZAHLUNGEN!$C$9:$C$128,A838,SONDERZAHLUNGEN!$H$9:$H$128,"OK",SONDERZAHLUNGEN!$F$9:$F$128,"Ja")-G838))</x:f>
      </x:c>
    </x:row>
    <x:row r="839" ht="19" customHeight="1">
      <x:c r="A839" s="90" t="n">
        <x:f>MONATSBUDGET!$A$48</x:f>
        <x:v>47453</x:v>
      </x:c>
      <x:c r="B839" t="n">
        <x:f>20</x:f>
        <x:v>20</x:v>
      </x:c>
      <x:c r="C839" t="str">
        <x:f>IF($N$28="","",$N$28)</x:f>
      </x:c>
      <x:c r="D839" s="88" t="str">
        <x:f>IF(C839="","",I819)</x:f>
      </x:c>
      <x:c r="E839" s="88" t="str">
        <x:f>IF(C839="","",ROUND(D839*$P$28/12,2))</x:f>
      </x:c>
      <x:c r="F839" s="88" t="str">
        <x:f>IF(C839="","",MIN(D839+E839,$Q$28))</x:f>
      </x:c>
      <x:c r="G839" s="88" t="str">
        <x:f>IF(C839="","",MIN(MAX(0,D839+E839-F839),SUMIFS(SONDERZAHLUNGEN!$E$9:$E$128,SONDERZAHLUNGEN!$B$9:$B$128,C839,SONDERZAHLUNGEN!$C$9:$C$128,A839,SONDERZAHLUNGEN!$H$9:$H$128,"OK",SONDERZAHLUNGEN!$F$9:$F$128,"Ja")))</x:f>
      </x:c>
      <x:c r="H839" s="88" t="str">
        <x:f>IF(C839="","",MIN(MAX(0,D839+E839-F839-G839),MAX(0,IF(MONATSBUDGET!$C$48="",0,MONATSBUDGET!$C$48)-SUM(F820:F839)-SUM(H820:H838))))</x:f>
      </x:c>
      <x:c r="I839" s="88" t="str">
        <x:f>IF(C839="","",MAX(0,ROUND(D839+E839-F839-G839-H839,2)))</x:f>
      </x:c>
      <x:c r="J839" s="88" t="str">
        <x:f>IF(C839="","",F839+G839+H839)</x:f>
      </x:c>
      <x:c r="K839" s="88" t="str">
        <x:f>IF(C839="","",MAX(0,SUMIFS(SONDERZAHLUNGEN!$E$9:$E$128,SONDERZAHLUNGEN!$B$9:$B$128,C839,SONDERZAHLUNGEN!$C$9:$C$128,A839,SONDERZAHLUNGEN!$H$9:$H$128,"OK",SONDERZAHLUNGEN!$F$9:$F$128,"Ja")-G839))</x:f>
      </x:c>
    </x:row>
    <x:row r="840" ht="19" customHeight="1">
      <x:c r="A840" s="90" t="n">
        <x:f>MONATSBUDGET!$A$49</x:f>
        <x:v>47484</x:v>
      </x:c>
      <x:c r="B840" t="n">
        <x:f>1</x:f>
        <x:v>1</x:v>
      </x:c>
      <x:c r="C840" t="str">
        <x:f>IF($N$9="","",$N$9)</x:f>
      </x:c>
      <x:c r="D840" s="88" t="str">
        <x:f>IF(C840="","",I820)</x:f>
      </x:c>
      <x:c r="E840" s="88" t="str">
        <x:f>IF(C840="","",ROUND(D840*$P$9/12,2))</x:f>
      </x:c>
      <x:c r="F840" s="88" t="str">
        <x:f>IF(C840="","",MIN(D840+E840,$Q$9))</x:f>
      </x:c>
      <x:c r="G840" s="88" t="str">
        <x:f>IF(C840="","",MIN(MAX(0,D840+E840-F840),SUMIFS(SONDERZAHLUNGEN!$E$9:$E$128,SONDERZAHLUNGEN!$B$9:$B$128,C840,SONDERZAHLUNGEN!$C$9:$C$128,A840,SONDERZAHLUNGEN!$H$9:$H$128,"OK",SONDERZAHLUNGEN!$F$9:$F$128,"Ja")))</x:f>
      </x:c>
      <x:c r="H840" s="88" t="str">
        <x:f>IF(C840="","",MIN(MAX(0,D840+E840-F840-G840),MAX(0,IF(MONATSBUDGET!$C$49="",0,MONATSBUDGET!$C$49)-SUM(F840:F859)-0)))</x:f>
      </x:c>
      <x:c r="I840" s="88" t="str">
        <x:f>IF(C840="","",MAX(0,ROUND(D840+E840-F840-G840-H840,2)))</x:f>
      </x:c>
      <x:c r="J840" s="88" t="str">
        <x:f>IF(C840="","",F840+G840+H840)</x:f>
      </x:c>
      <x:c r="K840" s="88" t="str">
        <x:f>IF(C840="","",MAX(0,SUMIFS(SONDERZAHLUNGEN!$E$9:$E$128,SONDERZAHLUNGEN!$B$9:$B$128,C840,SONDERZAHLUNGEN!$C$9:$C$128,A840,SONDERZAHLUNGEN!$H$9:$H$128,"OK",SONDERZAHLUNGEN!$F$9:$F$128,"Ja")-G840))</x:f>
      </x:c>
    </x:row>
    <x:row r="841" ht="19" customHeight="1">
      <x:c r="A841" s="90" t="n">
        <x:f>MONATSBUDGET!$A$49</x:f>
        <x:v>47484</x:v>
      </x:c>
      <x:c r="B841" t="n">
        <x:f>2</x:f>
        <x:v>2</x:v>
      </x:c>
      <x:c r="C841" t="str">
        <x:f>IF($N$10="","",$N$10)</x:f>
      </x:c>
      <x:c r="D841" s="88" t="str">
        <x:f>IF(C841="","",I821)</x:f>
      </x:c>
      <x:c r="E841" s="88" t="str">
        <x:f>IF(C841="","",ROUND(D841*$P$10/12,2))</x:f>
      </x:c>
      <x:c r="F841" s="88" t="str">
        <x:f>IF(C841="","",MIN(D841+E841,$Q$10))</x:f>
      </x:c>
      <x:c r="G841" s="88" t="str">
        <x:f>IF(C841="","",MIN(MAX(0,D841+E841-F841),SUMIFS(SONDERZAHLUNGEN!$E$9:$E$128,SONDERZAHLUNGEN!$B$9:$B$128,C841,SONDERZAHLUNGEN!$C$9:$C$128,A841,SONDERZAHLUNGEN!$H$9:$H$128,"OK",SONDERZAHLUNGEN!$F$9:$F$128,"Ja")))</x:f>
      </x:c>
      <x:c r="H841" s="88" t="str">
        <x:f>IF(C841="","",MIN(MAX(0,D841+E841-F841-G841),MAX(0,IF(MONATSBUDGET!$C$49="",0,MONATSBUDGET!$C$49)-SUM(F840:F859)-SUM(H840:H840))))</x:f>
      </x:c>
      <x:c r="I841" s="88" t="str">
        <x:f>IF(C841="","",MAX(0,ROUND(D841+E841-F841-G841-H841,2)))</x:f>
      </x:c>
      <x:c r="J841" s="88" t="str">
        <x:f>IF(C841="","",F841+G841+H841)</x:f>
      </x:c>
      <x:c r="K841" s="88" t="str">
        <x:f>IF(C841="","",MAX(0,SUMIFS(SONDERZAHLUNGEN!$E$9:$E$128,SONDERZAHLUNGEN!$B$9:$B$128,C841,SONDERZAHLUNGEN!$C$9:$C$128,A841,SONDERZAHLUNGEN!$H$9:$H$128,"OK",SONDERZAHLUNGEN!$F$9:$F$128,"Ja")-G841))</x:f>
      </x:c>
    </x:row>
    <x:row r="842" ht="19" customHeight="1">
      <x:c r="A842" s="90" t="n">
        <x:f>MONATSBUDGET!$A$49</x:f>
        <x:v>47484</x:v>
      </x:c>
      <x:c r="B842" t="n">
        <x:f>3</x:f>
        <x:v>3</x:v>
      </x:c>
      <x:c r="C842" t="str">
        <x:f>IF($N$11="","",$N$11)</x:f>
      </x:c>
      <x:c r="D842" s="88" t="str">
        <x:f>IF(C842="","",I822)</x:f>
      </x:c>
      <x:c r="E842" s="88" t="str">
        <x:f>IF(C842="","",ROUND(D842*$P$11/12,2))</x:f>
      </x:c>
      <x:c r="F842" s="88" t="str">
        <x:f>IF(C842="","",MIN(D842+E842,$Q$11))</x:f>
      </x:c>
      <x:c r="G842" s="88" t="str">
        <x:f>IF(C842="","",MIN(MAX(0,D842+E842-F842),SUMIFS(SONDERZAHLUNGEN!$E$9:$E$128,SONDERZAHLUNGEN!$B$9:$B$128,C842,SONDERZAHLUNGEN!$C$9:$C$128,A842,SONDERZAHLUNGEN!$H$9:$H$128,"OK",SONDERZAHLUNGEN!$F$9:$F$128,"Ja")))</x:f>
      </x:c>
      <x:c r="H842" s="88" t="str">
        <x:f>IF(C842="","",MIN(MAX(0,D842+E842-F842-G842),MAX(0,IF(MONATSBUDGET!$C$49="",0,MONATSBUDGET!$C$49)-SUM(F840:F859)-SUM(H840:H841))))</x:f>
      </x:c>
      <x:c r="I842" s="88" t="str">
        <x:f>IF(C842="","",MAX(0,ROUND(D842+E842-F842-G842-H842,2)))</x:f>
      </x:c>
      <x:c r="J842" s="88" t="str">
        <x:f>IF(C842="","",F842+G842+H842)</x:f>
      </x:c>
      <x:c r="K842" s="88" t="str">
        <x:f>IF(C842="","",MAX(0,SUMIFS(SONDERZAHLUNGEN!$E$9:$E$128,SONDERZAHLUNGEN!$B$9:$B$128,C842,SONDERZAHLUNGEN!$C$9:$C$128,A842,SONDERZAHLUNGEN!$H$9:$H$128,"OK",SONDERZAHLUNGEN!$F$9:$F$128,"Ja")-G842))</x:f>
      </x:c>
    </x:row>
    <x:row r="843" ht="19" customHeight="1">
      <x:c r="A843" s="90" t="n">
        <x:f>MONATSBUDGET!$A$49</x:f>
        <x:v>47484</x:v>
      </x:c>
      <x:c r="B843" t="n">
        <x:f>4</x:f>
        <x:v>4</x:v>
      </x:c>
      <x:c r="C843" t="str">
        <x:f>IF($N$12="","",$N$12)</x:f>
      </x:c>
      <x:c r="D843" s="88" t="str">
        <x:f>IF(C843="","",I823)</x:f>
      </x:c>
      <x:c r="E843" s="88" t="str">
        <x:f>IF(C843="","",ROUND(D843*$P$12/12,2))</x:f>
      </x:c>
      <x:c r="F843" s="88" t="str">
        <x:f>IF(C843="","",MIN(D843+E843,$Q$12))</x:f>
      </x:c>
      <x:c r="G843" s="88" t="str">
        <x:f>IF(C843="","",MIN(MAX(0,D843+E843-F843),SUMIFS(SONDERZAHLUNGEN!$E$9:$E$128,SONDERZAHLUNGEN!$B$9:$B$128,C843,SONDERZAHLUNGEN!$C$9:$C$128,A843,SONDERZAHLUNGEN!$H$9:$H$128,"OK",SONDERZAHLUNGEN!$F$9:$F$128,"Ja")))</x:f>
      </x:c>
      <x:c r="H843" s="88" t="str">
        <x:f>IF(C843="","",MIN(MAX(0,D843+E843-F843-G843),MAX(0,IF(MONATSBUDGET!$C$49="",0,MONATSBUDGET!$C$49)-SUM(F840:F859)-SUM(H840:H842))))</x:f>
      </x:c>
      <x:c r="I843" s="88" t="str">
        <x:f>IF(C843="","",MAX(0,ROUND(D843+E843-F843-G843-H843,2)))</x:f>
      </x:c>
      <x:c r="J843" s="88" t="str">
        <x:f>IF(C843="","",F843+G843+H843)</x:f>
      </x:c>
      <x:c r="K843" s="88" t="str">
        <x:f>IF(C843="","",MAX(0,SUMIFS(SONDERZAHLUNGEN!$E$9:$E$128,SONDERZAHLUNGEN!$B$9:$B$128,C843,SONDERZAHLUNGEN!$C$9:$C$128,A843,SONDERZAHLUNGEN!$H$9:$H$128,"OK",SONDERZAHLUNGEN!$F$9:$F$128,"Ja")-G843))</x:f>
      </x:c>
    </x:row>
    <x:row r="844" ht="19" customHeight="1">
      <x:c r="A844" s="90" t="n">
        <x:f>MONATSBUDGET!$A$49</x:f>
        <x:v>47484</x:v>
      </x:c>
      <x:c r="B844" t="n">
        <x:f>5</x:f>
        <x:v>5</x:v>
      </x:c>
      <x:c r="C844" t="str">
        <x:f>IF($N$13="","",$N$13)</x:f>
      </x:c>
      <x:c r="D844" s="88" t="str">
        <x:f>IF(C844="","",I824)</x:f>
      </x:c>
      <x:c r="E844" s="88" t="str">
        <x:f>IF(C844="","",ROUND(D844*$P$13/12,2))</x:f>
      </x:c>
      <x:c r="F844" s="88" t="str">
        <x:f>IF(C844="","",MIN(D844+E844,$Q$13))</x:f>
      </x:c>
      <x:c r="G844" s="88" t="str">
        <x:f>IF(C844="","",MIN(MAX(0,D844+E844-F844),SUMIFS(SONDERZAHLUNGEN!$E$9:$E$128,SONDERZAHLUNGEN!$B$9:$B$128,C844,SONDERZAHLUNGEN!$C$9:$C$128,A844,SONDERZAHLUNGEN!$H$9:$H$128,"OK",SONDERZAHLUNGEN!$F$9:$F$128,"Ja")))</x:f>
      </x:c>
      <x:c r="H844" s="88" t="str">
        <x:f>IF(C844="","",MIN(MAX(0,D844+E844-F844-G844),MAX(0,IF(MONATSBUDGET!$C$49="",0,MONATSBUDGET!$C$49)-SUM(F840:F859)-SUM(H840:H843))))</x:f>
      </x:c>
      <x:c r="I844" s="88" t="str">
        <x:f>IF(C844="","",MAX(0,ROUND(D844+E844-F844-G844-H844,2)))</x:f>
      </x:c>
      <x:c r="J844" s="88" t="str">
        <x:f>IF(C844="","",F844+G844+H844)</x:f>
      </x:c>
      <x:c r="K844" s="88" t="str">
        <x:f>IF(C844="","",MAX(0,SUMIFS(SONDERZAHLUNGEN!$E$9:$E$128,SONDERZAHLUNGEN!$B$9:$B$128,C844,SONDERZAHLUNGEN!$C$9:$C$128,A844,SONDERZAHLUNGEN!$H$9:$H$128,"OK",SONDERZAHLUNGEN!$F$9:$F$128,"Ja")-G844))</x:f>
      </x:c>
    </x:row>
    <x:row r="845" ht="19" customHeight="1">
      <x:c r="A845" s="90" t="n">
        <x:f>MONATSBUDGET!$A$49</x:f>
        <x:v>47484</x:v>
      </x:c>
      <x:c r="B845" t="n">
        <x:f>6</x:f>
        <x:v>6</x:v>
      </x:c>
      <x:c r="C845" t="str">
        <x:f>IF($N$14="","",$N$14)</x:f>
      </x:c>
      <x:c r="D845" s="88" t="str">
        <x:f>IF(C845="","",I825)</x:f>
      </x:c>
      <x:c r="E845" s="88" t="str">
        <x:f>IF(C845="","",ROUND(D845*$P$14/12,2))</x:f>
      </x:c>
      <x:c r="F845" s="88" t="str">
        <x:f>IF(C845="","",MIN(D845+E845,$Q$14))</x:f>
      </x:c>
      <x:c r="G845" s="88" t="str">
        <x:f>IF(C845="","",MIN(MAX(0,D845+E845-F845),SUMIFS(SONDERZAHLUNGEN!$E$9:$E$128,SONDERZAHLUNGEN!$B$9:$B$128,C845,SONDERZAHLUNGEN!$C$9:$C$128,A845,SONDERZAHLUNGEN!$H$9:$H$128,"OK",SONDERZAHLUNGEN!$F$9:$F$128,"Ja")))</x:f>
      </x:c>
      <x:c r="H845" s="88" t="str">
        <x:f>IF(C845="","",MIN(MAX(0,D845+E845-F845-G845),MAX(0,IF(MONATSBUDGET!$C$49="",0,MONATSBUDGET!$C$49)-SUM(F840:F859)-SUM(H840:H844))))</x:f>
      </x:c>
      <x:c r="I845" s="88" t="str">
        <x:f>IF(C845="","",MAX(0,ROUND(D845+E845-F845-G845-H845,2)))</x:f>
      </x:c>
      <x:c r="J845" s="88" t="str">
        <x:f>IF(C845="","",F845+G845+H845)</x:f>
      </x:c>
      <x:c r="K845" s="88" t="str">
        <x:f>IF(C845="","",MAX(0,SUMIFS(SONDERZAHLUNGEN!$E$9:$E$128,SONDERZAHLUNGEN!$B$9:$B$128,C845,SONDERZAHLUNGEN!$C$9:$C$128,A845,SONDERZAHLUNGEN!$H$9:$H$128,"OK",SONDERZAHLUNGEN!$F$9:$F$128,"Ja")-G845))</x:f>
      </x:c>
    </x:row>
    <x:row r="846" ht="19" customHeight="1">
      <x:c r="A846" s="90" t="n">
        <x:f>MONATSBUDGET!$A$49</x:f>
        <x:v>47484</x:v>
      </x:c>
      <x:c r="B846" t="n">
        <x:f>7</x:f>
        <x:v>7</x:v>
      </x:c>
      <x:c r="C846" t="str">
        <x:f>IF($N$15="","",$N$15)</x:f>
      </x:c>
      <x:c r="D846" s="88" t="str">
        <x:f>IF(C846="","",I826)</x:f>
      </x:c>
      <x:c r="E846" s="88" t="str">
        <x:f>IF(C846="","",ROUND(D846*$P$15/12,2))</x:f>
      </x:c>
      <x:c r="F846" s="88" t="str">
        <x:f>IF(C846="","",MIN(D846+E846,$Q$15))</x:f>
      </x:c>
      <x:c r="G846" s="88" t="str">
        <x:f>IF(C846="","",MIN(MAX(0,D846+E846-F846),SUMIFS(SONDERZAHLUNGEN!$E$9:$E$128,SONDERZAHLUNGEN!$B$9:$B$128,C846,SONDERZAHLUNGEN!$C$9:$C$128,A846,SONDERZAHLUNGEN!$H$9:$H$128,"OK",SONDERZAHLUNGEN!$F$9:$F$128,"Ja")))</x:f>
      </x:c>
      <x:c r="H846" s="88" t="str">
        <x:f>IF(C846="","",MIN(MAX(0,D846+E846-F846-G846),MAX(0,IF(MONATSBUDGET!$C$49="",0,MONATSBUDGET!$C$49)-SUM(F840:F859)-SUM(H840:H845))))</x:f>
      </x:c>
      <x:c r="I846" s="88" t="str">
        <x:f>IF(C846="","",MAX(0,ROUND(D846+E846-F846-G846-H846,2)))</x:f>
      </x:c>
      <x:c r="J846" s="88" t="str">
        <x:f>IF(C846="","",F846+G846+H846)</x:f>
      </x:c>
      <x:c r="K846" s="88" t="str">
        <x:f>IF(C846="","",MAX(0,SUMIFS(SONDERZAHLUNGEN!$E$9:$E$128,SONDERZAHLUNGEN!$B$9:$B$128,C846,SONDERZAHLUNGEN!$C$9:$C$128,A846,SONDERZAHLUNGEN!$H$9:$H$128,"OK",SONDERZAHLUNGEN!$F$9:$F$128,"Ja")-G846))</x:f>
      </x:c>
    </x:row>
    <x:row r="847" ht="19" customHeight="1">
      <x:c r="A847" s="90" t="n">
        <x:f>MONATSBUDGET!$A$49</x:f>
        <x:v>47484</x:v>
      </x:c>
      <x:c r="B847" t="n">
        <x:f>8</x:f>
        <x:v>8</x:v>
      </x:c>
      <x:c r="C847" t="str">
        <x:f>IF($N$16="","",$N$16)</x:f>
      </x:c>
      <x:c r="D847" s="88" t="str">
        <x:f>IF(C847="","",I827)</x:f>
      </x:c>
      <x:c r="E847" s="88" t="str">
        <x:f>IF(C847="","",ROUND(D847*$P$16/12,2))</x:f>
      </x:c>
      <x:c r="F847" s="88" t="str">
        <x:f>IF(C847="","",MIN(D847+E847,$Q$16))</x:f>
      </x:c>
      <x:c r="G847" s="88" t="str">
        <x:f>IF(C847="","",MIN(MAX(0,D847+E847-F847),SUMIFS(SONDERZAHLUNGEN!$E$9:$E$128,SONDERZAHLUNGEN!$B$9:$B$128,C847,SONDERZAHLUNGEN!$C$9:$C$128,A847,SONDERZAHLUNGEN!$H$9:$H$128,"OK",SONDERZAHLUNGEN!$F$9:$F$128,"Ja")))</x:f>
      </x:c>
      <x:c r="H847" s="88" t="str">
        <x:f>IF(C847="","",MIN(MAX(0,D847+E847-F847-G847),MAX(0,IF(MONATSBUDGET!$C$49="",0,MONATSBUDGET!$C$49)-SUM(F840:F859)-SUM(H840:H846))))</x:f>
      </x:c>
      <x:c r="I847" s="88" t="str">
        <x:f>IF(C847="","",MAX(0,ROUND(D847+E847-F847-G847-H847,2)))</x:f>
      </x:c>
      <x:c r="J847" s="88" t="str">
        <x:f>IF(C847="","",F847+G847+H847)</x:f>
      </x:c>
      <x:c r="K847" s="88" t="str">
        <x:f>IF(C847="","",MAX(0,SUMIFS(SONDERZAHLUNGEN!$E$9:$E$128,SONDERZAHLUNGEN!$B$9:$B$128,C847,SONDERZAHLUNGEN!$C$9:$C$128,A847,SONDERZAHLUNGEN!$H$9:$H$128,"OK",SONDERZAHLUNGEN!$F$9:$F$128,"Ja")-G847))</x:f>
      </x:c>
    </x:row>
    <x:row r="848" ht="19" customHeight="1">
      <x:c r="A848" s="90" t="n">
        <x:f>MONATSBUDGET!$A$49</x:f>
        <x:v>47484</x:v>
      </x:c>
      <x:c r="B848" t="n">
        <x:f>9</x:f>
        <x:v>9</x:v>
      </x:c>
      <x:c r="C848" t="str">
        <x:f>IF($N$17="","",$N$17)</x:f>
      </x:c>
      <x:c r="D848" s="88" t="str">
        <x:f>IF(C848="","",I828)</x:f>
      </x:c>
      <x:c r="E848" s="88" t="str">
        <x:f>IF(C848="","",ROUND(D848*$P$17/12,2))</x:f>
      </x:c>
      <x:c r="F848" s="88" t="str">
        <x:f>IF(C848="","",MIN(D848+E848,$Q$17))</x:f>
      </x:c>
      <x:c r="G848" s="88" t="str">
        <x:f>IF(C848="","",MIN(MAX(0,D848+E848-F848),SUMIFS(SONDERZAHLUNGEN!$E$9:$E$128,SONDERZAHLUNGEN!$B$9:$B$128,C848,SONDERZAHLUNGEN!$C$9:$C$128,A848,SONDERZAHLUNGEN!$H$9:$H$128,"OK",SONDERZAHLUNGEN!$F$9:$F$128,"Ja")))</x:f>
      </x:c>
      <x:c r="H848" s="88" t="str">
        <x:f>IF(C848="","",MIN(MAX(0,D848+E848-F848-G848),MAX(0,IF(MONATSBUDGET!$C$49="",0,MONATSBUDGET!$C$49)-SUM(F840:F859)-SUM(H840:H847))))</x:f>
      </x:c>
      <x:c r="I848" s="88" t="str">
        <x:f>IF(C848="","",MAX(0,ROUND(D848+E848-F848-G848-H848,2)))</x:f>
      </x:c>
      <x:c r="J848" s="88" t="str">
        <x:f>IF(C848="","",F848+G848+H848)</x:f>
      </x:c>
      <x:c r="K848" s="88" t="str">
        <x:f>IF(C848="","",MAX(0,SUMIFS(SONDERZAHLUNGEN!$E$9:$E$128,SONDERZAHLUNGEN!$B$9:$B$128,C848,SONDERZAHLUNGEN!$C$9:$C$128,A848,SONDERZAHLUNGEN!$H$9:$H$128,"OK",SONDERZAHLUNGEN!$F$9:$F$128,"Ja")-G848))</x:f>
      </x:c>
    </x:row>
    <x:row r="849" ht="19" customHeight="1">
      <x:c r="A849" s="90" t="n">
        <x:f>MONATSBUDGET!$A$49</x:f>
        <x:v>47484</x:v>
      </x:c>
      <x:c r="B849" t="n">
        <x:f>10</x:f>
        <x:v>10</x:v>
      </x:c>
      <x:c r="C849" t="str">
        <x:f>IF($N$18="","",$N$18)</x:f>
      </x:c>
      <x:c r="D849" s="88" t="str">
        <x:f>IF(C849="","",I829)</x:f>
      </x:c>
      <x:c r="E849" s="88" t="str">
        <x:f>IF(C849="","",ROUND(D849*$P$18/12,2))</x:f>
      </x:c>
      <x:c r="F849" s="88" t="str">
        <x:f>IF(C849="","",MIN(D849+E849,$Q$18))</x:f>
      </x:c>
      <x:c r="G849" s="88" t="str">
        <x:f>IF(C849="","",MIN(MAX(0,D849+E849-F849),SUMIFS(SONDERZAHLUNGEN!$E$9:$E$128,SONDERZAHLUNGEN!$B$9:$B$128,C849,SONDERZAHLUNGEN!$C$9:$C$128,A849,SONDERZAHLUNGEN!$H$9:$H$128,"OK",SONDERZAHLUNGEN!$F$9:$F$128,"Ja")))</x:f>
      </x:c>
      <x:c r="H849" s="88" t="str">
        <x:f>IF(C849="","",MIN(MAX(0,D849+E849-F849-G849),MAX(0,IF(MONATSBUDGET!$C$49="",0,MONATSBUDGET!$C$49)-SUM(F840:F859)-SUM(H840:H848))))</x:f>
      </x:c>
      <x:c r="I849" s="88" t="str">
        <x:f>IF(C849="","",MAX(0,ROUND(D849+E849-F849-G849-H849,2)))</x:f>
      </x:c>
      <x:c r="J849" s="88" t="str">
        <x:f>IF(C849="","",F849+G849+H849)</x:f>
      </x:c>
      <x:c r="K849" s="88" t="str">
        <x:f>IF(C849="","",MAX(0,SUMIFS(SONDERZAHLUNGEN!$E$9:$E$128,SONDERZAHLUNGEN!$B$9:$B$128,C849,SONDERZAHLUNGEN!$C$9:$C$128,A849,SONDERZAHLUNGEN!$H$9:$H$128,"OK",SONDERZAHLUNGEN!$F$9:$F$128,"Ja")-G849))</x:f>
      </x:c>
    </x:row>
    <x:row r="850" ht="19" customHeight="1">
      <x:c r="A850" s="90" t="n">
        <x:f>MONATSBUDGET!$A$49</x:f>
        <x:v>47484</x:v>
      </x:c>
      <x:c r="B850" t="n">
        <x:f>11</x:f>
        <x:v>11</x:v>
      </x:c>
      <x:c r="C850" t="str">
        <x:f>IF($N$19="","",$N$19)</x:f>
      </x:c>
      <x:c r="D850" s="88" t="str">
        <x:f>IF(C850="","",I830)</x:f>
      </x:c>
      <x:c r="E850" s="88" t="str">
        <x:f>IF(C850="","",ROUND(D850*$P$19/12,2))</x:f>
      </x:c>
      <x:c r="F850" s="88" t="str">
        <x:f>IF(C850="","",MIN(D850+E850,$Q$19))</x:f>
      </x:c>
      <x:c r="G850" s="88" t="str">
        <x:f>IF(C850="","",MIN(MAX(0,D850+E850-F850),SUMIFS(SONDERZAHLUNGEN!$E$9:$E$128,SONDERZAHLUNGEN!$B$9:$B$128,C850,SONDERZAHLUNGEN!$C$9:$C$128,A850,SONDERZAHLUNGEN!$H$9:$H$128,"OK",SONDERZAHLUNGEN!$F$9:$F$128,"Ja")))</x:f>
      </x:c>
      <x:c r="H850" s="88" t="str">
        <x:f>IF(C850="","",MIN(MAX(0,D850+E850-F850-G850),MAX(0,IF(MONATSBUDGET!$C$49="",0,MONATSBUDGET!$C$49)-SUM(F840:F859)-SUM(H840:H849))))</x:f>
      </x:c>
      <x:c r="I850" s="88" t="str">
        <x:f>IF(C850="","",MAX(0,ROUND(D850+E850-F850-G850-H850,2)))</x:f>
      </x:c>
      <x:c r="J850" s="88" t="str">
        <x:f>IF(C850="","",F850+G850+H850)</x:f>
      </x:c>
      <x:c r="K850" s="88" t="str">
        <x:f>IF(C850="","",MAX(0,SUMIFS(SONDERZAHLUNGEN!$E$9:$E$128,SONDERZAHLUNGEN!$B$9:$B$128,C850,SONDERZAHLUNGEN!$C$9:$C$128,A850,SONDERZAHLUNGEN!$H$9:$H$128,"OK",SONDERZAHLUNGEN!$F$9:$F$128,"Ja")-G850))</x:f>
      </x:c>
    </x:row>
    <x:row r="851" ht="19" customHeight="1">
      <x:c r="A851" s="90" t="n">
        <x:f>MONATSBUDGET!$A$49</x:f>
        <x:v>47484</x:v>
      </x:c>
      <x:c r="B851" t="n">
        <x:f>12</x:f>
        <x:v>12</x:v>
      </x:c>
      <x:c r="C851" t="str">
        <x:f>IF($N$20="","",$N$20)</x:f>
      </x:c>
      <x:c r="D851" s="88" t="str">
        <x:f>IF(C851="","",I831)</x:f>
      </x:c>
      <x:c r="E851" s="88" t="str">
        <x:f>IF(C851="","",ROUND(D851*$P$20/12,2))</x:f>
      </x:c>
      <x:c r="F851" s="88" t="str">
        <x:f>IF(C851="","",MIN(D851+E851,$Q$20))</x:f>
      </x:c>
      <x:c r="G851" s="88" t="str">
        <x:f>IF(C851="","",MIN(MAX(0,D851+E851-F851),SUMIFS(SONDERZAHLUNGEN!$E$9:$E$128,SONDERZAHLUNGEN!$B$9:$B$128,C851,SONDERZAHLUNGEN!$C$9:$C$128,A851,SONDERZAHLUNGEN!$H$9:$H$128,"OK",SONDERZAHLUNGEN!$F$9:$F$128,"Ja")))</x:f>
      </x:c>
      <x:c r="H851" s="88" t="str">
        <x:f>IF(C851="","",MIN(MAX(0,D851+E851-F851-G851),MAX(0,IF(MONATSBUDGET!$C$49="",0,MONATSBUDGET!$C$49)-SUM(F840:F859)-SUM(H840:H850))))</x:f>
      </x:c>
      <x:c r="I851" s="88" t="str">
        <x:f>IF(C851="","",MAX(0,ROUND(D851+E851-F851-G851-H851,2)))</x:f>
      </x:c>
      <x:c r="J851" s="88" t="str">
        <x:f>IF(C851="","",F851+G851+H851)</x:f>
      </x:c>
      <x:c r="K851" s="88" t="str">
        <x:f>IF(C851="","",MAX(0,SUMIFS(SONDERZAHLUNGEN!$E$9:$E$128,SONDERZAHLUNGEN!$B$9:$B$128,C851,SONDERZAHLUNGEN!$C$9:$C$128,A851,SONDERZAHLUNGEN!$H$9:$H$128,"OK",SONDERZAHLUNGEN!$F$9:$F$128,"Ja")-G851))</x:f>
      </x:c>
    </x:row>
    <x:row r="852" ht="19" customHeight="1">
      <x:c r="A852" s="90" t="n">
        <x:f>MONATSBUDGET!$A$49</x:f>
        <x:v>47484</x:v>
      </x:c>
      <x:c r="B852" t="n">
        <x:f>13</x:f>
        <x:v>13</x:v>
      </x:c>
      <x:c r="C852" t="str">
        <x:f>IF($N$21="","",$N$21)</x:f>
      </x:c>
      <x:c r="D852" s="88" t="str">
        <x:f>IF(C852="","",I832)</x:f>
      </x:c>
      <x:c r="E852" s="88" t="str">
        <x:f>IF(C852="","",ROUND(D852*$P$21/12,2))</x:f>
      </x:c>
      <x:c r="F852" s="88" t="str">
        <x:f>IF(C852="","",MIN(D852+E852,$Q$21))</x:f>
      </x:c>
      <x:c r="G852" s="88" t="str">
        <x:f>IF(C852="","",MIN(MAX(0,D852+E852-F852),SUMIFS(SONDERZAHLUNGEN!$E$9:$E$128,SONDERZAHLUNGEN!$B$9:$B$128,C852,SONDERZAHLUNGEN!$C$9:$C$128,A852,SONDERZAHLUNGEN!$H$9:$H$128,"OK",SONDERZAHLUNGEN!$F$9:$F$128,"Ja")))</x:f>
      </x:c>
      <x:c r="H852" s="88" t="str">
        <x:f>IF(C852="","",MIN(MAX(0,D852+E852-F852-G852),MAX(0,IF(MONATSBUDGET!$C$49="",0,MONATSBUDGET!$C$49)-SUM(F840:F859)-SUM(H840:H851))))</x:f>
      </x:c>
      <x:c r="I852" s="88" t="str">
        <x:f>IF(C852="","",MAX(0,ROUND(D852+E852-F852-G852-H852,2)))</x:f>
      </x:c>
      <x:c r="J852" s="88" t="str">
        <x:f>IF(C852="","",F852+G852+H852)</x:f>
      </x:c>
      <x:c r="K852" s="88" t="str">
        <x:f>IF(C852="","",MAX(0,SUMIFS(SONDERZAHLUNGEN!$E$9:$E$128,SONDERZAHLUNGEN!$B$9:$B$128,C852,SONDERZAHLUNGEN!$C$9:$C$128,A852,SONDERZAHLUNGEN!$H$9:$H$128,"OK",SONDERZAHLUNGEN!$F$9:$F$128,"Ja")-G852))</x:f>
      </x:c>
    </x:row>
    <x:row r="853" ht="19" customHeight="1">
      <x:c r="A853" s="90" t="n">
        <x:f>MONATSBUDGET!$A$49</x:f>
        <x:v>47484</x:v>
      </x:c>
      <x:c r="B853" t="n">
        <x:f>14</x:f>
        <x:v>14</x:v>
      </x:c>
      <x:c r="C853" t="str">
        <x:f>IF($N$22="","",$N$22)</x:f>
      </x:c>
      <x:c r="D853" s="88" t="str">
        <x:f>IF(C853="","",I833)</x:f>
      </x:c>
      <x:c r="E853" s="88" t="str">
        <x:f>IF(C853="","",ROUND(D853*$P$22/12,2))</x:f>
      </x:c>
      <x:c r="F853" s="88" t="str">
        <x:f>IF(C853="","",MIN(D853+E853,$Q$22))</x:f>
      </x:c>
      <x:c r="G853" s="88" t="str">
        <x:f>IF(C853="","",MIN(MAX(0,D853+E853-F853),SUMIFS(SONDERZAHLUNGEN!$E$9:$E$128,SONDERZAHLUNGEN!$B$9:$B$128,C853,SONDERZAHLUNGEN!$C$9:$C$128,A853,SONDERZAHLUNGEN!$H$9:$H$128,"OK",SONDERZAHLUNGEN!$F$9:$F$128,"Ja")))</x:f>
      </x:c>
      <x:c r="H853" s="88" t="str">
        <x:f>IF(C853="","",MIN(MAX(0,D853+E853-F853-G853),MAX(0,IF(MONATSBUDGET!$C$49="",0,MONATSBUDGET!$C$49)-SUM(F840:F859)-SUM(H840:H852))))</x:f>
      </x:c>
      <x:c r="I853" s="88" t="str">
        <x:f>IF(C853="","",MAX(0,ROUND(D853+E853-F853-G853-H853,2)))</x:f>
      </x:c>
      <x:c r="J853" s="88" t="str">
        <x:f>IF(C853="","",F853+G853+H853)</x:f>
      </x:c>
      <x:c r="K853" s="88" t="str">
        <x:f>IF(C853="","",MAX(0,SUMIFS(SONDERZAHLUNGEN!$E$9:$E$128,SONDERZAHLUNGEN!$B$9:$B$128,C853,SONDERZAHLUNGEN!$C$9:$C$128,A853,SONDERZAHLUNGEN!$H$9:$H$128,"OK",SONDERZAHLUNGEN!$F$9:$F$128,"Ja")-G853))</x:f>
      </x:c>
    </x:row>
    <x:row r="854" ht="19" customHeight="1">
      <x:c r="A854" s="90" t="n">
        <x:f>MONATSBUDGET!$A$49</x:f>
        <x:v>47484</x:v>
      </x:c>
      <x:c r="B854" t="n">
        <x:f>15</x:f>
        <x:v>15</x:v>
      </x:c>
      <x:c r="C854" t="str">
        <x:f>IF($N$23="","",$N$23)</x:f>
      </x:c>
      <x:c r="D854" s="88" t="str">
        <x:f>IF(C854="","",I834)</x:f>
      </x:c>
      <x:c r="E854" s="88" t="str">
        <x:f>IF(C854="","",ROUND(D854*$P$23/12,2))</x:f>
      </x:c>
      <x:c r="F854" s="88" t="str">
        <x:f>IF(C854="","",MIN(D854+E854,$Q$23))</x:f>
      </x:c>
      <x:c r="G854" s="88" t="str">
        <x:f>IF(C854="","",MIN(MAX(0,D854+E854-F854),SUMIFS(SONDERZAHLUNGEN!$E$9:$E$128,SONDERZAHLUNGEN!$B$9:$B$128,C854,SONDERZAHLUNGEN!$C$9:$C$128,A854,SONDERZAHLUNGEN!$H$9:$H$128,"OK",SONDERZAHLUNGEN!$F$9:$F$128,"Ja")))</x:f>
      </x:c>
      <x:c r="H854" s="88" t="str">
        <x:f>IF(C854="","",MIN(MAX(0,D854+E854-F854-G854),MAX(0,IF(MONATSBUDGET!$C$49="",0,MONATSBUDGET!$C$49)-SUM(F840:F859)-SUM(H840:H853))))</x:f>
      </x:c>
      <x:c r="I854" s="88" t="str">
        <x:f>IF(C854="","",MAX(0,ROUND(D854+E854-F854-G854-H854,2)))</x:f>
      </x:c>
      <x:c r="J854" s="88" t="str">
        <x:f>IF(C854="","",F854+G854+H854)</x:f>
      </x:c>
      <x:c r="K854" s="88" t="str">
        <x:f>IF(C854="","",MAX(0,SUMIFS(SONDERZAHLUNGEN!$E$9:$E$128,SONDERZAHLUNGEN!$B$9:$B$128,C854,SONDERZAHLUNGEN!$C$9:$C$128,A854,SONDERZAHLUNGEN!$H$9:$H$128,"OK",SONDERZAHLUNGEN!$F$9:$F$128,"Ja")-G854))</x:f>
      </x:c>
    </x:row>
    <x:row r="855" ht="19" customHeight="1">
      <x:c r="A855" s="90" t="n">
        <x:f>MONATSBUDGET!$A$49</x:f>
        <x:v>47484</x:v>
      </x:c>
      <x:c r="B855" t="n">
        <x:f>16</x:f>
        <x:v>16</x:v>
      </x:c>
      <x:c r="C855" t="str">
        <x:f>IF($N$24="","",$N$24)</x:f>
      </x:c>
      <x:c r="D855" s="88" t="str">
        <x:f>IF(C855="","",I835)</x:f>
      </x:c>
      <x:c r="E855" s="88" t="str">
        <x:f>IF(C855="","",ROUND(D855*$P$24/12,2))</x:f>
      </x:c>
      <x:c r="F855" s="88" t="str">
        <x:f>IF(C855="","",MIN(D855+E855,$Q$24))</x:f>
      </x:c>
      <x:c r="G855" s="88" t="str">
        <x:f>IF(C855="","",MIN(MAX(0,D855+E855-F855),SUMIFS(SONDERZAHLUNGEN!$E$9:$E$128,SONDERZAHLUNGEN!$B$9:$B$128,C855,SONDERZAHLUNGEN!$C$9:$C$128,A855,SONDERZAHLUNGEN!$H$9:$H$128,"OK",SONDERZAHLUNGEN!$F$9:$F$128,"Ja")))</x:f>
      </x:c>
      <x:c r="H855" s="88" t="str">
        <x:f>IF(C855="","",MIN(MAX(0,D855+E855-F855-G855),MAX(0,IF(MONATSBUDGET!$C$49="",0,MONATSBUDGET!$C$49)-SUM(F840:F859)-SUM(H840:H854))))</x:f>
      </x:c>
      <x:c r="I855" s="88" t="str">
        <x:f>IF(C855="","",MAX(0,ROUND(D855+E855-F855-G855-H855,2)))</x:f>
      </x:c>
      <x:c r="J855" s="88" t="str">
        <x:f>IF(C855="","",F855+G855+H855)</x:f>
      </x:c>
      <x:c r="K855" s="88" t="str">
        <x:f>IF(C855="","",MAX(0,SUMIFS(SONDERZAHLUNGEN!$E$9:$E$128,SONDERZAHLUNGEN!$B$9:$B$128,C855,SONDERZAHLUNGEN!$C$9:$C$128,A855,SONDERZAHLUNGEN!$H$9:$H$128,"OK",SONDERZAHLUNGEN!$F$9:$F$128,"Ja")-G855))</x:f>
      </x:c>
    </x:row>
    <x:row r="856" ht="19" customHeight="1">
      <x:c r="A856" s="90" t="n">
        <x:f>MONATSBUDGET!$A$49</x:f>
        <x:v>47484</x:v>
      </x:c>
      <x:c r="B856" t="n">
        <x:f>17</x:f>
        <x:v>17</x:v>
      </x:c>
      <x:c r="C856" t="str">
        <x:f>IF($N$25="","",$N$25)</x:f>
      </x:c>
      <x:c r="D856" s="88" t="str">
        <x:f>IF(C856="","",I836)</x:f>
      </x:c>
      <x:c r="E856" s="88" t="str">
        <x:f>IF(C856="","",ROUND(D856*$P$25/12,2))</x:f>
      </x:c>
      <x:c r="F856" s="88" t="str">
        <x:f>IF(C856="","",MIN(D856+E856,$Q$25))</x:f>
      </x:c>
      <x:c r="G856" s="88" t="str">
        <x:f>IF(C856="","",MIN(MAX(0,D856+E856-F856),SUMIFS(SONDERZAHLUNGEN!$E$9:$E$128,SONDERZAHLUNGEN!$B$9:$B$128,C856,SONDERZAHLUNGEN!$C$9:$C$128,A856,SONDERZAHLUNGEN!$H$9:$H$128,"OK",SONDERZAHLUNGEN!$F$9:$F$128,"Ja")))</x:f>
      </x:c>
      <x:c r="H856" s="88" t="str">
        <x:f>IF(C856="","",MIN(MAX(0,D856+E856-F856-G856),MAX(0,IF(MONATSBUDGET!$C$49="",0,MONATSBUDGET!$C$49)-SUM(F840:F859)-SUM(H840:H855))))</x:f>
      </x:c>
      <x:c r="I856" s="88" t="str">
        <x:f>IF(C856="","",MAX(0,ROUND(D856+E856-F856-G856-H856,2)))</x:f>
      </x:c>
      <x:c r="J856" s="88" t="str">
        <x:f>IF(C856="","",F856+G856+H856)</x:f>
      </x:c>
      <x:c r="K856" s="88" t="str">
        <x:f>IF(C856="","",MAX(0,SUMIFS(SONDERZAHLUNGEN!$E$9:$E$128,SONDERZAHLUNGEN!$B$9:$B$128,C856,SONDERZAHLUNGEN!$C$9:$C$128,A856,SONDERZAHLUNGEN!$H$9:$H$128,"OK",SONDERZAHLUNGEN!$F$9:$F$128,"Ja")-G856))</x:f>
      </x:c>
    </x:row>
    <x:row r="857" ht="19" customHeight="1">
      <x:c r="A857" s="90" t="n">
        <x:f>MONATSBUDGET!$A$49</x:f>
        <x:v>47484</x:v>
      </x:c>
      <x:c r="B857" t="n">
        <x:f>18</x:f>
        <x:v>18</x:v>
      </x:c>
      <x:c r="C857" t="str">
        <x:f>IF($N$26="","",$N$26)</x:f>
      </x:c>
      <x:c r="D857" s="88" t="str">
        <x:f>IF(C857="","",I837)</x:f>
      </x:c>
      <x:c r="E857" s="88" t="str">
        <x:f>IF(C857="","",ROUND(D857*$P$26/12,2))</x:f>
      </x:c>
      <x:c r="F857" s="88" t="str">
        <x:f>IF(C857="","",MIN(D857+E857,$Q$26))</x:f>
      </x:c>
      <x:c r="G857" s="88" t="str">
        <x:f>IF(C857="","",MIN(MAX(0,D857+E857-F857),SUMIFS(SONDERZAHLUNGEN!$E$9:$E$128,SONDERZAHLUNGEN!$B$9:$B$128,C857,SONDERZAHLUNGEN!$C$9:$C$128,A857,SONDERZAHLUNGEN!$H$9:$H$128,"OK",SONDERZAHLUNGEN!$F$9:$F$128,"Ja")))</x:f>
      </x:c>
      <x:c r="H857" s="88" t="str">
        <x:f>IF(C857="","",MIN(MAX(0,D857+E857-F857-G857),MAX(0,IF(MONATSBUDGET!$C$49="",0,MONATSBUDGET!$C$49)-SUM(F840:F859)-SUM(H840:H856))))</x:f>
      </x:c>
      <x:c r="I857" s="88" t="str">
        <x:f>IF(C857="","",MAX(0,ROUND(D857+E857-F857-G857-H857,2)))</x:f>
      </x:c>
      <x:c r="J857" s="88" t="str">
        <x:f>IF(C857="","",F857+G857+H857)</x:f>
      </x:c>
      <x:c r="K857" s="88" t="str">
        <x:f>IF(C857="","",MAX(0,SUMIFS(SONDERZAHLUNGEN!$E$9:$E$128,SONDERZAHLUNGEN!$B$9:$B$128,C857,SONDERZAHLUNGEN!$C$9:$C$128,A857,SONDERZAHLUNGEN!$H$9:$H$128,"OK",SONDERZAHLUNGEN!$F$9:$F$128,"Ja")-G857))</x:f>
      </x:c>
    </x:row>
    <x:row r="858" ht="19" customHeight="1">
      <x:c r="A858" s="90" t="n">
        <x:f>MONATSBUDGET!$A$49</x:f>
        <x:v>47484</x:v>
      </x:c>
      <x:c r="B858" t="n">
        <x:f>19</x:f>
        <x:v>19</x:v>
      </x:c>
      <x:c r="C858" t="str">
        <x:f>IF($N$27="","",$N$27)</x:f>
      </x:c>
      <x:c r="D858" s="88" t="str">
        <x:f>IF(C858="","",I838)</x:f>
      </x:c>
      <x:c r="E858" s="88" t="str">
        <x:f>IF(C858="","",ROUND(D858*$P$27/12,2))</x:f>
      </x:c>
      <x:c r="F858" s="88" t="str">
        <x:f>IF(C858="","",MIN(D858+E858,$Q$27))</x:f>
      </x:c>
      <x:c r="G858" s="88" t="str">
        <x:f>IF(C858="","",MIN(MAX(0,D858+E858-F858),SUMIFS(SONDERZAHLUNGEN!$E$9:$E$128,SONDERZAHLUNGEN!$B$9:$B$128,C858,SONDERZAHLUNGEN!$C$9:$C$128,A858,SONDERZAHLUNGEN!$H$9:$H$128,"OK",SONDERZAHLUNGEN!$F$9:$F$128,"Ja")))</x:f>
      </x:c>
      <x:c r="H858" s="88" t="str">
        <x:f>IF(C858="","",MIN(MAX(0,D858+E858-F858-G858),MAX(0,IF(MONATSBUDGET!$C$49="",0,MONATSBUDGET!$C$49)-SUM(F840:F859)-SUM(H840:H857))))</x:f>
      </x:c>
      <x:c r="I858" s="88" t="str">
        <x:f>IF(C858="","",MAX(0,ROUND(D858+E858-F858-G858-H858,2)))</x:f>
      </x:c>
      <x:c r="J858" s="88" t="str">
        <x:f>IF(C858="","",F858+G858+H858)</x:f>
      </x:c>
      <x:c r="K858" s="88" t="str">
        <x:f>IF(C858="","",MAX(0,SUMIFS(SONDERZAHLUNGEN!$E$9:$E$128,SONDERZAHLUNGEN!$B$9:$B$128,C858,SONDERZAHLUNGEN!$C$9:$C$128,A858,SONDERZAHLUNGEN!$H$9:$H$128,"OK",SONDERZAHLUNGEN!$F$9:$F$128,"Ja")-G858))</x:f>
      </x:c>
    </x:row>
    <x:row r="859" ht="19" customHeight="1">
      <x:c r="A859" s="90" t="n">
        <x:f>MONATSBUDGET!$A$49</x:f>
        <x:v>47484</x:v>
      </x:c>
      <x:c r="B859" t="n">
        <x:f>20</x:f>
        <x:v>20</x:v>
      </x:c>
      <x:c r="C859" t="str">
        <x:f>IF($N$28="","",$N$28)</x:f>
      </x:c>
      <x:c r="D859" s="88" t="str">
        <x:f>IF(C859="","",I839)</x:f>
      </x:c>
      <x:c r="E859" s="88" t="str">
        <x:f>IF(C859="","",ROUND(D859*$P$28/12,2))</x:f>
      </x:c>
      <x:c r="F859" s="88" t="str">
        <x:f>IF(C859="","",MIN(D859+E859,$Q$28))</x:f>
      </x:c>
      <x:c r="G859" s="88" t="str">
        <x:f>IF(C859="","",MIN(MAX(0,D859+E859-F859),SUMIFS(SONDERZAHLUNGEN!$E$9:$E$128,SONDERZAHLUNGEN!$B$9:$B$128,C859,SONDERZAHLUNGEN!$C$9:$C$128,A859,SONDERZAHLUNGEN!$H$9:$H$128,"OK",SONDERZAHLUNGEN!$F$9:$F$128,"Ja")))</x:f>
      </x:c>
      <x:c r="H859" s="88" t="str">
        <x:f>IF(C859="","",MIN(MAX(0,D859+E859-F859-G859),MAX(0,IF(MONATSBUDGET!$C$49="",0,MONATSBUDGET!$C$49)-SUM(F840:F859)-SUM(H840:H858))))</x:f>
      </x:c>
      <x:c r="I859" s="88" t="str">
        <x:f>IF(C859="","",MAX(0,ROUND(D859+E859-F859-G859-H859,2)))</x:f>
      </x:c>
      <x:c r="J859" s="88" t="str">
        <x:f>IF(C859="","",F859+G859+H859)</x:f>
      </x:c>
      <x:c r="K859" s="88" t="str">
        <x:f>IF(C859="","",MAX(0,SUMIFS(SONDERZAHLUNGEN!$E$9:$E$128,SONDERZAHLUNGEN!$B$9:$B$128,C859,SONDERZAHLUNGEN!$C$9:$C$128,A859,SONDERZAHLUNGEN!$H$9:$H$128,"OK",SONDERZAHLUNGEN!$F$9:$F$128,"Ja")-G859))</x:f>
      </x:c>
    </x:row>
    <x:row r="860" ht="19" customHeight="1">
      <x:c r="A860" s="90" t="n">
        <x:f>MONATSBUDGET!$A$50</x:f>
        <x:v>47515</x:v>
      </x:c>
      <x:c r="B860" t="n">
        <x:f>1</x:f>
        <x:v>1</x:v>
      </x:c>
      <x:c r="C860" t="str">
        <x:f>IF($N$9="","",$N$9)</x:f>
      </x:c>
      <x:c r="D860" s="88" t="str">
        <x:f>IF(C860="","",I840)</x:f>
      </x:c>
      <x:c r="E860" s="88" t="str">
        <x:f>IF(C860="","",ROUND(D860*$P$9/12,2))</x:f>
      </x:c>
      <x:c r="F860" s="88" t="str">
        <x:f>IF(C860="","",MIN(D860+E860,$Q$9))</x:f>
      </x:c>
      <x:c r="G860" s="88" t="str">
        <x:f>IF(C860="","",MIN(MAX(0,D860+E860-F860),SUMIFS(SONDERZAHLUNGEN!$E$9:$E$128,SONDERZAHLUNGEN!$B$9:$B$128,C860,SONDERZAHLUNGEN!$C$9:$C$128,A860,SONDERZAHLUNGEN!$H$9:$H$128,"OK",SONDERZAHLUNGEN!$F$9:$F$128,"Ja")))</x:f>
      </x:c>
      <x:c r="H860" s="88" t="str">
        <x:f>IF(C860="","",MIN(MAX(0,D860+E860-F860-G860),MAX(0,IF(MONATSBUDGET!$C$50="",0,MONATSBUDGET!$C$50)-SUM(F860:F879)-0)))</x:f>
      </x:c>
      <x:c r="I860" s="88" t="str">
        <x:f>IF(C860="","",MAX(0,ROUND(D860+E860-F860-G860-H860,2)))</x:f>
      </x:c>
      <x:c r="J860" s="88" t="str">
        <x:f>IF(C860="","",F860+G860+H860)</x:f>
      </x:c>
      <x:c r="K860" s="88" t="str">
        <x:f>IF(C860="","",MAX(0,SUMIFS(SONDERZAHLUNGEN!$E$9:$E$128,SONDERZAHLUNGEN!$B$9:$B$128,C860,SONDERZAHLUNGEN!$C$9:$C$128,A860,SONDERZAHLUNGEN!$H$9:$H$128,"OK",SONDERZAHLUNGEN!$F$9:$F$128,"Ja")-G860))</x:f>
      </x:c>
    </x:row>
    <x:row r="861" ht="19" customHeight="1">
      <x:c r="A861" s="90" t="n">
        <x:f>MONATSBUDGET!$A$50</x:f>
        <x:v>47515</x:v>
      </x:c>
      <x:c r="B861" t="n">
        <x:f>2</x:f>
        <x:v>2</x:v>
      </x:c>
      <x:c r="C861" t="str">
        <x:f>IF($N$10="","",$N$10)</x:f>
      </x:c>
      <x:c r="D861" s="88" t="str">
        <x:f>IF(C861="","",I841)</x:f>
      </x:c>
      <x:c r="E861" s="88" t="str">
        <x:f>IF(C861="","",ROUND(D861*$P$10/12,2))</x:f>
      </x:c>
      <x:c r="F861" s="88" t="str">
        <x:f>IF(C861="","",MIN(D861+E861,$Q$10))</x:f>
      </x:c>
      <x:c r="G861" s="88" t="str">
        <x:f>IF(C861="","",MIN(MAX(0,D861+E861-F861),SUMIFS(SONDERZAHLUNGEN!$E$9:$E$128,SONDERZAHLUNGEN!$B$9:$B$128,C861,SONDERZAHLUNGEN!$C$9:$C$128,A861,SONDERZAHLUNGEN!$H$9:$H$128,"OK",SONDERZAHLUNGEN!$F$9:$F$128,"Ja")))</x:f>
      </x:c>
      <x:c r="H861" s="88" t="str">
        <x:f>IF(C861="","",MIN(MAX(0,D861+E861-F861-G861),MAX(0,IF(MONATSBUDGET!$C$50="",0,MONATSBUDGET!$C$50)-SUM(F860:F879)-SUM(H860:H860))))</x:f>
      </x:c>
      <x:c r="I861" s="88" t="str">
        <x:f>IF(C861="","",MAX(0,ROUND(D861+E861-F861-G861-H861,2)))</x:f>
      </x:c>
      <x:c r="J861" s="88" t="str">
        <x:f>IF(C861="","",F861+G861+H861)</x:f>
      </x:c>
      <x:c r="K861" s="88" t="str">
        <x:f>IF(C861="","",MAX(0,SUMIFS(SONDERZAHLUNGEN!$E$9:$E$128,SONDERZAHLUNGEN!$B$9:$B$128,C861,SONDERZAHLUNGEN!$C$9:$C$128,A861,SONDERZAHLUNGEN!$H$9:$H$128,"OK",SONDERZAHLUNGEN!$F$9:$F$128,"Ja")-G861))</x:f>
      </x:c>
    </x:row>
    <x:row r="862" ht="19" customHeight="1">
      <x:c r="A862" s="90" t="n">
        <x:f>MONATSBUDGET!$A$50</x:f>
        <x:v>47515</x:v>
      </x:c>
      <x:c r="B862" t="n">
        <x:f>3</x:f>
        <x:v>3</x:v>
      </x:c>
      <x:c r="C862" t="str">
        <x:f>IF($N$11="","",$N$11)</x:f>
      </x:c>
      <x:c r="D862" s="88" t="str">
        <x:f>IF(C862="","",I842)</x:f>
      </x:c>
      <x:c r="E862" s="88" t="str">
        <x:f>IF(C862="","",ROUND(D862*$P$11/12,2))</x:f>
      </x:c>
      <x:c r="F862" s="88" t="str">
        <x:f>IF(C862="","",MIN(D862+E862,$Q$11))</x:f>
      </x:c>
      <x:c r="G862" s="88" t="str">
        <x:f>IF(C862="","",MIN(MAX(0,D862+E862-F862),SUMIFS(SONDERZAHLUNGEN!$E$9:$E$128,SONDERZAHLUNGEN!$B$9:$B$128,C862,SONDERZAHLUNGEN!$C$9:$C$128,A862,SONDERZAHLUNGEN!$H$9:$H$128,"OK",SONDERZAHLUNGEN!$F$9:$F$128,"Ja")))</x:f>
      </x:c>
      <x:c r="H862" s="88" t="str">
        <x:f>IF(C862="","",MIN(MAX(0,D862+E862-F862-G862),MAX(0,IF(MONATSBUDGET!$C$50="",0,MONATSBUDGET!$C$50)-SUM(F860:F879)-SUM(H860:H861))))</x:f>
      </x:c>
      <x:c r="I862" s="88" t="str">
        <x:f>IF(C862="","",MAX(0,ROUND(D862+E862-F862-G862-H862,2)))</x:f>
      </x:c>
      <x:c r="J862" s="88" t="str">
        <x:f>IF(C862="","",F862+G862+H862)</x:f>
      </x:c>
      <x:c r="K862" s="88" t="str">
        <x:f>IF(C862="","",MAX(0,SUMIFS(SONDERZAHLUNGEN!$E$9:$E$128,SONDERZAHLUNGEN!$B$9:$B$128,C862,SONDERZAHLUNGEN!$C$9:$C$128,A862,SONDERZAHLUNGEN!$H$9:$H$128,"OK",SONDERZAHLUNGEN!$F$9:$F$128,"Ja")-G862))</x:f>
      </x:c>
    </x:row>
    <x:row r="863" ht="19" customHeight="1">
      <x:c r="A863" s="90" t="n">
        <x:f>MONATSBUDGET!$A$50</x:f>
        <x:v>47515</x:v>
      </x:c>
      <x:c r="B863" t="n">
        <x:f>4</x:f>
        <x:v>4</x:v>
      </x:c>
      <x:c r="C863" t="str">
        <x:f>IF($N$12="","",$N$12)</x:f>
      </x:c>
      <x:c r="D863" s="88" t="str">
        <x:f>IF(C863="","",I843)</x:f>
      </x:c>
      <x:c r="E863" s="88" t="str">
        <x:f>IF(C863="","",ROUND(D863*$P$12/12,2))</x:f>
      </x:c>
      <x:c r="F863" s="88" t="str">
        <x:f>IF(C863="","",MIN(D863+E863,$Q$12))</x:f>
      </x:c>
      <x:c r="G863" s="88" t="str">
        <x:f>IF(C863="","",MIN(MAX(0,D863+E863-F863),SUMIFS(SONDERZAHLUNGEN!$E$9:$E$128,SONDERZAHLUNGEN!$B$9:$B$128,C863,SONDERZAHLUNGEN!$C$9:$C$128,A863,SONDERZAHLUNGEN!$H$9:$H$128,"OK",SONDERZAHLUNGEN!$F$9:$F$128,"Ja")))</x:f>
      </x:c>
      <x:c r="H863" s="88" t="str">
        <x:f>IF(C863="","",MIN(MAX(0,D863+E863-F863-G863),MAX(0,IF(MONATSBUDGET!$C$50="",0,MONATSBUDGET!$C$50)-SUM(F860:F879)-SUM(H860:H862))))</x:f>
      </x:c>
      <x:c r="I863" s="88" t="str">
        <x:f>IF(C863="","",MAX(0,ROUND(D863+E863-F863-G863-H863,2)))</x:f>
      </x:c>
      <x:c r="J863" s="88" t="str">
        <x:f>IF(C863="","",F863+G863+H863)</x:f>
      </x:c>
      <x:c r="K863" s="88" t="str">
        <x:f>IF(C863="","",MAX(0,SUMIFS(SONDERZAHLUNGEN!$E$9:$E$128,SONDERZAHLUNGEN!$B$9:$B$128,C863,SONDERZAHLUNGEN!$C$9:$C$128,A863,SONDERZAHLUNGEN!$H$9:$H$128,"OK",SONDERZAHLUNGEN!$F$9:$F$128,"Ja")-G863))</x:f>
      </x:c>
    </x:row>
    <x:row r="864" ht="19" customHeight="1">
      <x:c r="A864" s="90" t="n">
        <x:f>MONATSBUDGET!$A$50</x:f>
        <x:v>47515</x:v>
      </x:c>
      <x:c r="B864" t="n">
        <x:f>5</x:f>
        <x:v>5</x:v>
      </x:c>
      <x:c r="C864" t="str">
        <x:f>IF($N$13="","",$N$13)</x:f>
      </x:c>
      <x:c r="D864" s="88" t="str">
        <x:f>IF(C864="","",I844)</x:f>
      </x:c>
      <x:c r="E864" s="88" t="str">
        <x:f>IF(C864="","",ROUND(D864*$P$13/12,2))</x:f>
      </x:c>
      <x:c r="F864" s="88" t="str">
        <x:f>IF(C864="","",MIN(D864+E864,$Q$13))</x:f>
      </x:c>
      <x:c r="G864" s="88" t="str">
        <x:f>IF(C864="","",MIN(MAX(0,D864+E864-F864),SUMIFS(SONDERZAHLUNGEN!$E$9:$E$128,SONDERZAHLUNGEN!$B$9:$B$128,C864,SONDERZAHLUNGEN!$C$9:$C$128,A864,SONDERZAHLUNGEN!$H$9:$H$128,"OK",SONDERZAHLUNGEN!$F$9:$F$128,"Ja")))</x:f>
      </x:c>
      <x:c r="H864" s="88" t="str">
        <x:f>IF(C864="","",MIN(MAX(0,D864+E864-F864-G864),MAX(0,IF(MONATSBUDGET!$C$50="",0,MONATSBUDGET!$C$50)-SUM(F860:F879)-SUM(H860:H863))))</x:f>
      </x:c>
      <x:c r="I864" s="88" t="str">
        <x:f>IF(C864="","",MAX(0,ROUND(D864+E864-F864-G864-H864,2)))</x:f>
      </x:c>
      <x:c r="J864" s="88" t="str">
        <x:f>IF(C864="","",F864+G864+H864)</x:f>
      </x:c>
      <x:c r="K864" s="88" t="str">
        <x:f>IF(C864="","",MAX(0,SUMIFS(SONDERZAHLUNGEN!$E$9:$E$128,SONDERZAHLUNGEN!$B$9:$B$128,C864,SONDERZAHLUNGEN!$C$9:$C$128,A864,SONDERZAHLUNGEN!$H$9:$H$128,"OK",SONDERZAHLUNGEN!$F$9:$F$128,"Ja")-G864))</x:f>
      </x:c>
    </x:row>
    <x:row r="865" ht="19" customHeight="1">
      <x:c r="A865" s="90" t="n">
        <x:f>MONATSBUDGET!$A$50</x:f>
        <x:v>47515</x:v>
      </x:c>
      <x:c r="B865" t="n">
        <x:f>6</x:f>
        <x:v>6</x:v>
      </x:c>
      <x:c r="C865" t="str">
        <x:f>IF($N$14="","",$N$14)</x:f>
      </x:c>
      <x:c r="D865" s="88" t="str">
        <x:f>IF(C865="","",I845)</x:f>
      </x:c>
      <x:c r="E865" s="88" t="str">
        <x:f>IF(C865="","",ROUND(D865*$P$14/12,2))</x:f>
      </x:c>
      <x:c r="F865" s="88" t="str">
        <x:f>IF(C865="","",MIN(D865+E865,$Q$14))</x:f>
      </x:c>
      <x:c r="G865" s="88" t="str">
        <x:f>IF(C865="","",MIN(MAX(0,D865+E865-F865),SUMIFS(SONDERZAHLUNGEN!$E$9:$E$128,SONDERZAHLUNGEN!$B$9:$B$128,C865,SONDERZAHLUNGEN!$C$9:$C$128,A865,SONDERZAHLUNGEN!$H$9:$H$128,"OK",SONDERZAHLUNGEN!$F$9:$F$128,"Ja")))</x:f>
      </x:c>
      <x:c r="H865" s="88" t="str">
        <x:f>IF(C865="","",MIN(MAX(0,D865+E865-F865-G865),MAX(0,IF(MONATSBUDGET!$C$50="",0,MONATSBUDGET!$C$50)-SUM(F860:F879)-SUM(H860:H864))))</x:f>
      </x:c>
      <x:c r="I865" s="88" t="str">
        <x:f>IF(C865="","",MAX(0,ROUND(D865+E865-F865-G865-H865,2)))</x:f>
      </x:c>
      <x:c r="J865" s="88" t="str">
        <x:f>IF(C865="","",F865+G865+H865)</x:f>
      </x:c>
      <x:c r="K865" s="88" t="str">
        <x:f>IF(C865="","",MAX(0,SUMIFS(SONDERZAHLUNGEN!$E$9:$E$128,SONDERZAHLUNGEN!$B$9:$B$128,C865,SONDERZAHLUNGEN!$C$9:$C$128,A865,SONDERZAHLUNGEN!$H$9:$H$128,"OK",SONDERZAHLUNGEN!$F$9:$F$128,"Ja")-G865))</x:f>
      </x:c>
    </x:row>
    <x:row r="866" ht="19" customHeight="1">
      <x:c r="A866" s="90" t="n">
        <x:f>MONATSBUDGET!$A$50</x:f>
        <x:v>47515</x:v>
      </x:c>
      <x:c r="B866" t="n">
        <x:f>7</x:f>
        <x:v>7</x:v>
      </x:c>
      <x:c r="C866" t="str">
        <x:f>IF($N$15="","",$N$15)</x:f>
      </x:c>
      <x:c r="D866" s="88" t="str">
        <x:f>IF(C866="","",I846)</x:f>
      </x:c>
      <x:c r="E866" s="88" t="str">
        <x:f>IF(C866="","",ROUND(D866*$P$15/12,2))</x:f>
      </x:c>
      <x:c r="F866" s="88" t="str">
        <x:f>IF(C866="","",MIN(D866+E866,$Q$15))</x:f>
      </x:c>
      <x:c r="G866" s="88" t="str">
        <x:f>IF(C866="","",MIN(MAX(0,D866+E866-F866),SUMIFS(SONDERZAHLUNGEN!$E$9:$E$128,SONDERZAHLUNGEN!$B$9:$B$128,C866,SONDERZAHLUNGEN!$C$9:$C$128,A866,SONDERZAHLUNGEN!$H$9:$H$128,"OK",SONDERZAHLUNGEN!$F$9:$F$128,"Ja")))</x:f>
      </x:c>
      <x:c r="H866" s="88" t="str">
        <x:f>IF(C866="","",MIN(MAX(0,D866+E866-F866-G866),MAX(0,IF(MONATSBUDGET!$C$50="",0,MONATSBUDGET!$C$50)-SUM(F860:F879)-SUM(H860:H865))))</x:f>
      </x:c>
      <x:c r="I866" s="88" t="str">
        <x:f>IF(C866="","",MAX(0,ROUND(D866+E866-F866-G866-H866,2)))</x:f>
      </x:c>
      <x:c r="J866" s="88" t="str">
        <x:f>IF(C866="","",F866+G866+H866)</x:f>
      </x:c>
      <x:c r="K866" s="88" t="str">
        <x:f>IF(C866="","",MAX(0,SUMIFS(SONDERZAHLUNGEN!$E$9:$E$128,SONDERZAHLUNGEN!$B$9:$B$128,C866,SONDERZAHLUNGEN!$C$9:$C$128,A866,SONDERZAHLUNGEN!$H$9:$H$128,"OK",SONDERZAHLUNGEN!$F$9:$F$128,"Ja")-G866))</x:f>
      </x:c>
    </x:row>
    <x:row r="867" ht="19" customHeight="1">
      <x:c r="A867" s="90" t="n">
        <x:f>MONATSBUDGET!$A$50</x:f>
        <x:v>47515</x:v>
      </x:c>
      <x:c r="B867" t="n">
        <x:f>8</x:f>
        <x:v>8</x:v>
      </x:c>
      <x:c r="C867" t="str">
        <x:f>IF($N$16="","",$N$16)</x:f>
      </x:c>
      <x:c r="D867" s="88" t="str">
        <x:f>IF(C867="","",I847)</x:f>
      </x:c>
      <x:c r="E867" s="88" t="str">
        <x:f>IF(C867="","",ROUND(D867*$P$16/12,2))</x:f>
      </x:c>
      <x:c r="F867" s="88" t="str">
        <x:f>IF(C867="","",MIN(D867+E867,$Q$16))</x:f>
      </x:c>
      <x:c r="G867" s="88" t="str">
        <x:f>IF(C867="","",MIN(MAX(0,D867+E867-F867),SUMIFS(SONDERZAHLUNGEN!$E$9:$E$128,SONDERZAHLUNGEN!$B$9:$B$128,C867,SONDERZAHLUNGEN!$C$9:$C$128,A867,SONDERZAHLUNGEN!$H$9:$H$128,"OK",SONDERZAHLUNGEN!$F$9:$F$128,"Ja")))</x:f>
      </x:c>
      <x:c r="H867" s="88" t="str">
        <x:f>IF(C867="","",MIN(MAX(0,D867+E867-F867-G867),MAX(0,IF(MONATSBUDGET!$C$50="",0,MONATSBUDGET!$C$50)-SUM(F860:F879)-SUM(H860:H866))))</x:f>
      </x:c>
      <x:c r="I867" s="88" t="str">
        <x:f>IF(C867="","",MAX(0,ROUND(D867+E867-F867-G867-H867,2)))</x:f>
      </x:c>
      <x:c r="J867" s="88" t="str">
        <x:f>IF(C867="","",F867+G867+H867)</x:f>
      </x:c>
      <x:c r="K867" s="88" t="str">
        <x:f>IF(C867="","",MAX(0,SUMIFS(SONDERZAHLUNGEN!$E$9:$E$128,SONDERZAHLUNGEN!$B$9:$B$128,C867,SONDERZAHLUNGEN!$C$9:$C$128,A867,SONDERZAHLUNGEN!$H$9:$H$128,"OK",SONDERZAHLUNGEN!$F$9:$F$128,"Ja")-G867))</x:f>
      </x:c>
    </x:row>
    <x:row r="868" ht="19" customHeight="1">
      <x:c r="A868" s="90" t="n">
        <x:f>MONATSBUDGET!$A$50</x:f>
        <x:v>47515</x:v>
      </x:c>
      <x:c r="B868" t="n">
        <x:f>9</x:f>
        <x:v>9</x:v>
      </x:c>
      <x:c r="C868" t="str">
        <x:f>IF($N$17="","",$N$17)</x:f>
      </x:c>
      <x:c r="D868" s="88" t="str">
        <x:f>IF(C868="","",I848)</x:f>
      </x:c>
      <x:c r="E868" s="88" t="str">
        <x:f>IF(C868="","",ROUND(D868*$P$17/12,2))</x:f>
      </x:c>
      <x:c r="F868" s="88" t="str">
        <x:f>IF(C868="","",MIN(D868+E868,$Q$17))</x:f>
      </x:c>
      <x:c r="G868" s="88" t="str">
        <x:f>IF(C868="","",MIN(MAX(0,D868+E868-F868),SUMIFS(SONDERZAHLUNGEN!$E$9:$E$128,SONDERZAHLUNGEN!$B$9:$B$128,C868,SONDERZAHLUNGEN!$C$9:$C$128,A868,SONDERZAHLUNGEN!$H$9:$H$128,"OK",SONDERZAHLUNGEN!$F$9:$F$128,"Ja")))</x:f>
      </x:c>
      <x:c r="H868" s="88" t="str">
        <x:f>IF(C868="","",MIN(MAX(0,D868+E868-F868-G868),MAX(0,IF(MONATSBUDGET!$C$50="",0,MONATSBUDGET!$C$50)-SUM(F860:F879)-SUM(H860:H867))))</x:f>
      </x:c>
      <x:c r="I868" s="88" t="str">
        <x:f>IF(C868="","",MAX(0,ROUND(D868+E868-F868-G868-H868,2)))</x:f>
      </x:c>
      <x:c r="J868" s="88" t="str">
        <x:f>IF(C868="","",F868+G868+H868)</x:f>
      </x:c>
      <x:c r="K868" s="88" t="str">
        <x:f>IF(C868="","",MAX(0,SUMIFS(SONDERZAHLUNGEN!$E$9:$E$128,SONDERZAHLUNGEN!$B$9:$B$128,C868,SONDERZAHLUNGEN!$C$9:$C$128,A868,SONDERZAHLUNGEN!$H$9:$H$128,"OK",SONDERZAHLUNGEN!$F$9:$F$128,"Ja")-G868))</x:f>
      </x:c>
    </x:row>
    <x:row r="869" ht="19" customHeight="1">
      <x:c r="A869" s="90" t="n">
        <x:f>MONATSBUDGET!$A$50</x:f>
        <x:v>47515</x:v>
      </x:c>
      <x:c r="B869" t="n">
        <x:f>10</x:f>
        <x:v>10</x:v>
      </x:c>
      <x:c r="C869" t="str">
        <x:f>IF($N$18="","",$N$18)</x:f>
      </x:c>
      <x:c r="D869" s="88" t="str">
        <x:f>IF(C869="","",I849)</x:f>
      </x:c>
      <x:c r="E869" s="88" t="str">
        <x:f>IF(C869="","",ROUND(D869*$P$18/12,2))</x:f>
      </x:c>
      <x:c r="F869" s="88" t="str">
        <x:f>IF(C869="","",MIN(D869+E869,$Q$18))</x:f>
      </x:c>
      <x:c r="G869" s="88" t="str">
        <x:f>IF(C869="","",MIN(MAX(0,D869+E869-F869),SUMIFS(SONDERZAHLUNGEN!$E$9:$E$128,SONDERZAHLUNGEN!$B$9:$B$128,C869,SONDERZAHLUNGEN!$C$9:$C$128,A869,SONDERZAHLUNGEN!$H$9:$H$128,"OK",SONDERZAHLUNGEN!$F$9:$F$128,"Ja")))</x:f>
      </x:c>
      <x:c r="H869" s="88" t="str">
        <x:f>IF(C869="","",MIN(MAX(0,D869+E869-F869-G869),MAX(0,IF(MONATSBUDGET!$C$50="",0,MONATSBUDGET!$C$50)-SUM(F860:F879)-SUM(H860:H868))))</x:f>
      </x:c>
      <x:c r="I869" s="88" t="str">
        <x:f>IF(C869="","",MAX(0,ROUND(D869+E869-F869-G869-H869,2)))</x:f>
      </x:c>
      <x:c r="J869" s="88" t="str">
        <x:f>IF(C869="","",F869+G869+H869)</x:f>
      </x:c>
      <x:c r="K869" s="88" t="str">
        <x:f>IF(C869="","",MAX(0,SUMIFS(SONDERZAHLUNGEN!$E$9:$E$128,SONDERZAHLUNGEN!$B$9:$B$128,C869,SONDERZAHLUNGEN!$C$9:$C$128,A869,SONDERZAHLUNGEN!$H$9:$H$128,"OK",SONDERZAHLUNGEN!$F$9:$F$128,"Ja")-G869))</x:f>
      </x:c>
    </x:row>
    <x:row r="870" ht="19" customHeight="1">
      <x:c r="A870" s="90" t="n">
        <x:f>MONATSBUDGET!$A$50</x:f>
        <x:v>47515</x:v>
      </x:c>
      <x:c r="B870" t="n">
        <x:f>11</x:f>
        <x:v>11</x:v>
      </x:c>
      <x:c r="C870" t="str">
        <x:f>IF($N$19="","",$N$19)</x:f>
      </x:c>
      <x:c r="D870" s="88" t="str">
        <x:f>IF(C870="","",I850)</x:f>
      </x:c>
      <x:c r="E870" s="88" t="str">
        <x:f>IF(C870="","",ROUND(D870*$P$19/12,2))</x:f>
      </x:c>
      <x:c r="F870" s="88" t="str">
        <x:f>IF(C870="","",MIN(D870+E870,$Q$19))</x:f>
      </x:c>
      <x:c r="G870" s="88" t="str">
        <x:f>IF(C870="","",MIN(MAX(0,D870+E870-F870),SUMIFS(SONDERZAHLUNGEN!$E$9:$E$128,SONDERZAHLUNGEN!$B$9:$B$128,C870,SONDERZAHLUNGEN!$C$9:$C$128,A870,SONDERZAHLUNGEN!$H$9:$H$128,"OK",SONDERZAHLUNGEN!$F$9:$F$128,"Ja")))</x:f>
      </x:c>
      <x:c r="H870" s="88" t="str">
        <x:f>IF(C870="","",MIN(MAX(0,D870+E870-F870-G870),MAX(0,IF(MONATSBUDGET!$C$50="",0,MONATSBUDGET!$C$50)-SUM(F860:F879)-SUM(H860:H869))))</x:f>
      </x:c>
      <x:c r="I870" s="88" t="str">
        <x:f>IF(C870="","",MAX(0,ROUND(D870+E870-F870-G870-H870,2)))</x:f>
      </x:c>
      <x:c r="J870" s="88" t="str">
        <x:f>IF(C870="","",F870+G870+H870)</x:f>
      </x:c>
      <x:c r="K870" s="88" t="str">
        <x:f>IF(C870="","",MAX(0,SUMIFS(SONDERZAHLUNGEN!$E$9:$E$128,SONDERZAHLUNGEN!$B$9:$B$128,C870,SONDERZAHLUNGEN!$C$9:$C$128,A870,SONDERZAHLUNGEN!$H$9:$H$128,"OK",SONDERZAHLUNGEN!$F$9:$F$128,"Ja")-G870))</x:f>
      </x:c>
    </x:row>
    <x:row r="871" ht="19" customHeight="1">
      <x:c r="A871" s="90" t="n">
        <x:f>MONATSBUDGET!$A$50</x:f>
        <x:v>47515</x:v>
      </x:c>
      <x:c r="B871" t="n">
        <x:f>12</x:f>
        <x:v>12</x:v>
      </x:c>
      <x:c r="C871" t="str">
        <x:f>IF($N$20="","",$N$20)</x:f>
      </x:c>
      <x:c r="D871" s="88" t="str">
        <x:f>IF(C871="","",I851)</x:f>
      </x:c>
      <x:c r="E871" s="88" t="str">
        <x:f>IF(C871="","",ROUND(D871*$P$20/12,2))</x:f>
      </x:c>
      <x:c r="F871" s="88" t="str">
        <x:f>IF(C871="","",MIN(D871+E871,$Q$20))</x:f>
      </x:c>
      <x:c r="G871" s="88" t="str">
        <x:f>IF(C871="","",MIN(MAX(0,D871+E871-F871),SUMIFS(SONDERZAHLUNGEN!$E$9:$E$128,SONDERZAHLUNGEN!$B$9:$B$128,C871,SONDERZAHLUNGEN!$C$9:$C$128,A871,SONDERZAHLUNGEN!$H$9:$H$128,"OK",SONDERZAHLUNGEN!$F$9:$F$128,"Ja")))</x:f>
      </x:c>
      <x:c r="H871" s="88" t="str">
        <x:f>IF(C871="","",MIN(MAX(0,D871+E871-F871-G871),MAX(0,IF(MONATSBUDGET!$C$50="",0,MONATSBUDGET!$C$50)-SUM(F860:F879)-SUM(H860:H870))))</x:f>
      </x:c>
      <x:c r="I871" s="88" t="str">
        <x:f>IF(C871="","",MAX(0,ROUND(D871+E871-F871-G871-H871,2)))</x:f>
      </x:c>
      <x:c r="J871" s="88" t="str">
        <x:f>IF(C871="","",F871+G871+H871)</x:f>
      </x:c>
      <x:c r="K871" s="88" t="str">
        <x:f>IF(C871="","",MAX(0,SUMIFS(SONDERZAHLUNGEN!$E$9:$E$128,SONDERZAHLUNGEN!$B$9:$B$128,C871,SONDERZAHLUNGEN!$C$9:$C$128,A871,SONDERZAHLUNGEN!$H$9:$H$128,"OK",SONDERZAHLUNGEN!$F$9:$F$128,"Ja")-G871))</x:f>
      </x:c>
    </x:row>
    <x:row r="872" ht="19" customHeight="1">
      <x:c r="A872" s="90" t="n">
        <x:f>MONATSBUDGET!$A$50</x:f>
        <x:v>47515</x:v>
      </x:c>
      <x:c r="B872" t="n">
        <x:f>13</x:f>
        <x:v>13</x:v>
      </x:c>
      <x:c r="C872" t="str">
        <x:f>IF($N$21="","",$N$21)</x:f>
      </x:c>
      <x:c r="D872" s="88" t="str">
        <x:f>IF(C872="","",I852)</x:f>
      </x:c>
      <x:c r="E872" s="88" t="str">
        <x:f>IF(C872="","",ROUND(D872*$P$21/12,2))</x:f>
      </x:c>
      <x:c r="F872" s="88" t="str">
        <x:f>IF(C872="","",MIN(D872+E872,$Q$21))</x:f>
      </x:c>
      <x:c r="G872" s="88" t="str">
        <x:f>IF(C872="","",MIN(MAX(0,D872+E872-F872),SUMIFS(SONDERZAHLUNGEN!$E$9:$E$128,SONDERZAHLUNGEN!$B$9:$B$128,C872,SONDERZAHLUNGEN!$C$9:$C$128,A872,SONDERZAHLUNGEN!$H$9:$H$128,"OK",SONDERZAHLUNGEN!$F$9:$F$128,"Ja")))</x:f>
      </x:c>
      <x:c r="H872" s="88" t="str">
        <x:f>IF(C872="","",MIN(MAX(0,D872+E872-F872-G872),MAX(0,IF(MONATSBUDGET!$C$50="",0,MONATSBUDGET!$C$50)-SUM(F860:F879)-SUM(H860:H871))))</x:f>
      </x:c>
      <x:c r="I872" s="88" t="str">
        <x:f>IF(C872="","",MAX(0,ROUND(D872+E872-F872-G872-H872,2)))</x:f>
      </x:c>
      <x:c r="J872" s="88" t="str">
        <x:f>IF(C872="","",F872+G872+H872)</x:f>
      </x:c>
      <x:c r="K872" s="88" t="str">
        <x:f>IF(C872="","",MAX(0,SUMIFS(SONDERZAHLUNGEN!$E$9:$E$128,SONDERZAHLUNGEN!$B$9:$B$128,C872,SONDERZAHLUNGEN!$C$9:$C$128,A872,SONDERZAHLUNGEN!$H$9:$H$128,"OK",SONDERZAHLUNGEN!$F$9:$F$128,"Ja")-G872))</x:f>
      </x:c>
    </x:row>
    <x:row r="873" ht="19" customHeight="1">
      <x:c r="A873" s="90" t="n">
        <x:f>MONATSBUDGET!$A$50</x:f>
        <x:v>47515</x:v>
      </x:c>
      <x:c r="B873" t="n">
        <x:f>14</x:f>
        <x:v>14</x:v>
      </x:c>
      <x:c r="C873" t="str">
        <x:f>IF($N$22="","",$N$22)</x:f>
      </x:c>
      <x:c r="D873" s="88" t="str">
        <x:f>IF(C873="","",I853)</x:f>
      </x:c>
      <x:c r="E873" s="88" t="str">
        <x:f>IF(C873="","",ROUND(D873*$P$22/12,2))</x:f>
      </x:c>
      <x:c r="F873" s="88" t="str">
        <x:f>IF(C873="","",MIN(D873+E873,$Q$22))</x:f>
      </x:c>
      <x:c r="G873" s="88" t="str">
        <x:f>IF(C873="","",MIN(MAX(0,D873+E873-F873),SUMIFS(SONDERZAHLUNGEN!$E$9:$E$128,SONDERZAHLUNGEN!$B$9:$B$128,C873,SONDERZAHLUNGEN!$C$9:$C$128,A873,SONDERZAHLUNGEN!$H$9:$H$128,"OK",SONDERZAHLUNGEN!$F$9:$F$128,"Ja")))</x:f>
      </x:c>
      <x:c r="H873" s="88" t="str">
        <x:f>IF(C873="","",MIN(MAX(0,D873+E873-F873-G873),MAX(0,IF(MONATSBUDGET!$C$50="",0,MONATSBUDGET!$C$50)-SUM(F860:F879)-SUM(H860:H872))))</x:f>
      </x:c>
      <x:c r="I873" s="88" t="str">
        <x:f>IF(C873="","",MAX(0,ROUND(D873+E873-F873-G873-H873,2)))</x:f>
      </x:c>
      <x:c r="J873" s="88" t="str">
        <x:f>IF(C873="","",F873+G873+H873)</x:f>
      </x:c>
      <x:c r="K873" s="88" t="str">
        <x:f>IF(C873="","",MAX(0,SUMIFS(SONDERZAHLUNGEN!$E$9:$E$128,SONDERZAHLUNGEN!$B$9:$B$128,C873,SONDERZAHLUNGEN!$C$9:$C$128,A873,SONDERZAHLUNGEN!$H$9:$H$128,"OK",SONDERZAHLUNGEN!$F$9:$F$128,"Ja")-G873))</x:f>
      </x:c>
    </x:row>
    <x:row r="874" ht="19" customHeight="1">
      <x:c r="A874" s="90" t="n">
        <x:f>MONATSBUDGET!$A$50</x:f>
        <x:v>47515</x:v>
      </x:c>
      <x:c r="B874" t="n">
        <x:f>15</x:f>
        <x:v>15</x:v>
      </x:c>
      <x:c r="C874" t="str">
        <x:f>IF($N$23="","",$N$23)</x:f>
      </x:c>
      <x:c r="D874" s="88" t="str">
        <x:f>IF(C874="","",I854)</x:f>
      </x:c>
      <x:c r="E874" s="88" t="str">
        <x:f>IF(C874="","",ROUND(D874*$P$23/12,2))</x:f>
      </x:c>
      <x:c r="F874" s="88" t="str">
        <x:f>IF(C874="","",MIN(D874+E874,$Q$23))</x:f>
      </x:c>
      <x:c r="G874" s="88" t="str">
        <x:f>IF(C874="","",MIN(MAX(0,D874+E874-F874),SUMIFS(SONDERZAHLUNGEN!$E$9:$E$128,SONDERZAHLUNGEN!$B$9:$B$128,C874,SONDERZAHLUNGEN!$C$9:$C$128,A874,SONDERZAHLUNGEN!$H$9:$H$128,"OK",SONDERZAHLUNGEN!$F$9:$F$128,"Ja")))</x:f>
      </x:c>
      <x:c r="H874" s="88" t="str">
        <x:f>IF(C874="","",MIN(MAX(0,D874+E874-F874-G874),MAX(0,IF(MONATSBUDGET!$C$50="",0,MONATSBUDGET!$C$50)-SUM(F860:F879)-SUM(H860:H873))))</x:f>
      </x:c>
      <x:c r="I874" s="88" t="str">
        <x:f>IF(C874="","",MAX(0,ROUND(D874+E874-F874-G874-H874,2)))</x:f>
      </x:c>
      <x:c r="J874" s="88" t="str">
        <x:f>IF(C874="","",F874+G874+H874)</x:f>
      </x:c>
      <x:c r="K874" s="88" t="str">
        <x:f>IF(C874="","",MAX(0,SUMIFS(SONDERZAHLUNGEN!$E$9:$E$128,SONDERZAHLUNGEN!$B$9:$B$128,C874,SONDERZAHLUNGEN!$C$9:$C$128,A874,SONDERZAHLUNGEN!$H$9:$H$128,"OK",SONDERZAHLUNGEN!$F$9:$F$128,"Ja")-G874))</x:f>
      </x:c>
    </x:row>
    <x:row r="875" ht="19" customHeight="1">
      <x:c r="A875" s="90" t="n">
        <x:f>MONATSBUDGET!$A$50</x:f>
        <x:v>47515</x:v>
      </x:c>
      <x:c r="B875" t="n">
        <x:f>16</x:f>
        <x:v>16</x:v>
      </x:c>
      <x:c r="C875" t="str">
        <x:f>IF($N$24="","",$N$24)</x:f>
      </x:c>
      <x:c r="D875" s="88" t="str">
        <x:f>IF(C875="","",I855)</x:f>
      </x:c>
      <x:c r="E875" s="88" t="str">
        <x:f>IF(C875="","",ROUND(D875*$P$24/12,2))</x:f>
      </x:c>
      <x:c r="F875" s="88" t="str">
        <x:f>IF(C875="","",MIN(D875+E875,$Q$24))</x:f>
      </x:c>
      <x:c r="G875" s="88" t="str">
        <x:f>IF(C875="","",MIN(MAX(0,D875+E875-F875),SUMIFS(SONDERZAHLUNGEN!$E$9:$E$128,SONDERZAHLUNGEN!$B$9:$B$128,C875,SONDERZAHLUNGEN!$C$9:$C$128,A875,SONDERZAHLUNGEN!$H$9:$H$128,"OK",SONDERZAHLUNGEN!$F$9:$F$128,"Ja")))</x:f>
      </x:c>
      <x:c r="H875" s="88" t="str">
        <x:f>IF(C875="","",MIN(MAX(0,D875+E875-F875-G875),MAX(0,IF(MONATSBUDGET!$C$50="",0,MONATSBUDGET!$C$50)-SUM(F860:F879)-SUM(H860:H874))))</x:f>
      </x:c>
      <x:c r="I875" s="88" t="str">
        <x:f>IF(C875="","",MAX(0,ROUND(D875+E875-F875-G875-H875,2)))</x:f>
      </x:c>
      <x:c r="J875" s="88" t="str">
        <x:f>IF(C875="","",F875+G875+H875)</x:f>
      </x:c>
      <x:c r="K875" s="88" t="str">
        <x:f>IF(C875="","",MAX(0,SUMIFS(SONDERZAHLUNGEN!$E$9:$E$128,SONDERZAHLUNGEN!$B$9:$B$128,C875,SONDERZAHLUNGEN!$C$9:$C$128,A875,SONDERZAHLUNGEN!$H$9:$H$128,"OK",SONDERZAHLUNGEN!$F$9:$F$128,"Ja")-G875))</x:f>
      </x:c>
    </x:row>
    <x:row r="876" ht="19" customHeight="1">
      <x:c r="A876" s="90" t="n">
        <x:f>MONATSBUDGET!$A$50</x:f>
        <x:v>47515</x:v>
      </x:c>
      <x:c r="B876" t="n">
        <x:f>17</x:f>
        <x:v>17</x:v>
      </x:c>
      <x:c r="C876" t="str">
        <x:f>IF($N$25="","",$N$25)</x:f>
      </x:c>
      <x:c r="D876" s="88" t="str">
        <x:f>IF(C876="","",I856)</x:f>
      </x:c>
      <x:c r="E876" s="88" t="str">
        <x:f>IF(C876="","",ROUND(D876*$P$25/12,2))</x:f>
      </x:c>
      <x:c r="F876" s="88" t="str">
        <x:f>IF(C876="","",MIN(D876+E876,$Q$25))</x:f>
      </x:c>
      <x:c r="G876" s="88" t="str">
        <x:f>IF(C876="","",MIN(MAX(0,D876+E876-F876),SUMIFS(SONDERZAHLUNGEN!$E$9:$E$128,SONDERZAHLUNGEN!$B$9:$B$128,C876,SONDERZAHLUNGEN!$C$9:$C$128,A876,SONDERZAHLUNGEN!$H$9:$H$128,"OK",SONDERZAHLUNGEN!$F$9:$F$128,"Ja")))</x:f>
      </x:c>
      <x:c r="H876" s="88" t="str">
        <x:f>IF(C876="","",MIN(MAX(0,D876+E876-F876-G876),MAX(0,IF(MONATSBUDGET!$C$50="",0,MONATSBUDGET!$C$50)-SUM(F860:F879)-SUM(H860:H875))))</x:f>
      </x:c>
      <x:c r="I876" s="88" t="str">
        <x:f>IF(C876="","",MAX(0,ROUND(D876+E876-F876-G876-H876,2)))</x:f>
      </x:c>
      <x:c r="J876" s="88" t="str">
        <x:f>IF(C876="","",F876+G876+H876)</x:f>
      </x:c>
      <x:c r="K876" s="88" t="str">
        <x:f>IF(C876="","",MAX(0,SUMIFS(SONDERZAHLUNGEN!$E$9:$E$128,SONDERZAHLUNGEN!$B$9:$B$128,C876,SONDERZAHLUNGEN!$C$9:$C$128,A876,SONDERZAHLUNGEN!$H$9:$H$128,"OK",SONDERZAHLUNGEN!$F$9:$F$128,"Ja")-G876))</x:f>
      </x:c>
    </x:row>
    <x:row r="877" ht="19" customHeight="1">
      <x:c r="A877" s="90" t="n">
        <x:f>MONATSBUDGET!$A$50</x:f>
        <x:v>47515</x:v>
      </x:c>
      <x:c r="B877" t="n">
        <x:f>18</x:f>
        <x:v>18</x:v>
      </x:c>
      <x:c r="C877" t="str">
        <x:f>IF($N$26="","",$N$26)</x:f>
      </x:c>
      <x:c r="D877" s="88" t="str">
        <x:f>IF(C877="","",I857)</x:f>
      </x:c>
      <x:c r="E877" s="88" t="str">
        <x:f>IF(C877="","",ROUND(D877*$P$26/12,2))</x:f>
      </x:c>
      <x:c r="F877" s="88" t="str">
        <x:f>IF(C877="","",MIN(D877+E877,$Q$26))</x:f>
      </x:c>
      <x:c r="G877" s="88" t="str">
        <x:f>IF(C877="","",MIN(MAX(0,D877+E877-F877),SUMIFS(SONDERZAHLUNGEN!$E$9:$E$128,SONDERZAHLUNGEN!$B$9:$B$128,C877,SONDERZAHLUNGEN!$C$9:$C$128,A877,SONDERZAHLUNGEN!$H$9:$H$128,"OK",SONDERZAHLUNGEN!$F$9:$F$128,"Ja")))</x:f>
      </x:c>
      <x:c r="H877" s="88" t="str">
        <x:f>IF(C877="","",MIN(MAX(0,D877+E877-F877-G877),MAX(0,IF(MONATSBUDGET!$C$50="",0,MONATSBUDGET!$C$50)-SUM(F860:F879)-SUM(H860:H876))))</x:f>
      </x:c>
      <x:c r="I877" s="88" t="str">
        <x:f>IF(C877="","",MAX(0,ROUND(D877+E877-F877-G877-H877,2)))</x:f>
      </x:c>
      <x:c r="J877" s="88" t="str">
        <x:f>IF(C877="","",F877+G877+H877)</x:f>
      </x:c>
      <x:c r="K877" s="88" t="str">
        <x:f>IF(C877="","",MAX(0,SUMIFS(SONDERZAHLUNGEN!$E$9:$E$128,SONDERZAHLUNGEN!$B$9:$B$128,C877,SONDERZAHLUNGEN!$C$9:$C$128,A877,SONDERZAHLUNGEN!$H$9:$H$128,"OK",SONDERZAHLUNGEN!$F$9:$F$128,"Ja")-G877))</x:f>
      </x:c>
    </x:row>
    <x:row r="878" ht="19" customHeight="1">
      <x:c r="A878" s="90" t="n">
        <x:f>MONATSBUDGET!$A$50</x:f>
        <x:v>47515</x:v>
      </x:c>
      <x:c r="B878" t="n">
        <x:f>19</x:f>
        <x:v>19</x:v>
      </x:c>
      <x:c r="C878" t="str">
        <x:f>IF($N$27="","",$N$27)</x:f>
      </x:c>
      <x:c r="D878" s="88" t="str">
        <x:f>IF(C878="","",I858)</x:f>
      </x:c>
      <x:c r="E878" s="88" t="str">
        <x:f>IF(C878="","",ROUND(D878*$P$27/12,2))</x:f>
      </x:c>
      <x:c r="F878" s="88" t="str">
        <x:f>IF(C878="","",MIN(D878+E878,$Q$27))</x:f>
      </x:c>
      <x:c r="G878" s="88" t="str">
        <x:f>IF(C878="","",MIN(MAX(0,D878+E878-F878),SUMIFS(SONDERZAHLUNGEN!$E$9:$E$128,SONDERZAHLUNGEN!$B$9:$B$128,C878,SONDERZAHLUNGEN!$C$9:$C$128,A878,SONDERZAHLUNGEN!$H$9:$H$128,"OK",SONDERZAHLUNGEN!$F$9:$F$128,"Ja")))</x:f>
      </x:c>
      <x:c r="H878" s="88" t="str">
        <x:f>IF(C878="","",MIN(MAX(0,D878+E878-F878-G878),MAX(0,IF(MONATSBUDGET!$C$50="",0,MONATSBUDGET!$C$50)-SUM(F860:F879)-SUM(H860:H877))))</x:f>
      </x:c>
      <x:c r="I878" s="88" t="str">
        <x:f>IF(C878="","",MAX(0,ROUND(D878+E878-F878-G878-H878,2)))</x:f>
      </x:c>
      <x:c r="J878" s="88" t="str">
        <x:f>IF(C878="","",F878+G878+H878)</x:f>
      </x:c>
      <x:c r="K878" s="88" t="str">
        <x:f>IF(C878="","",MAX(0,SUMIFS(SONDERZAHLUNGEN!$E$9:$E$128,SONDERZAHLUNGEN!$B$9:$B$128,C878,SONDERZAHLUNGEN!$C$9:$C$128,A878,SONDERZAHLUNGEN!$H$9:$H$128,"OK",SONDERZAHLUNGEN!$F$9:$F$128,"Ja")-G878))</x:f>
      </x:c>
    </x:row>
    <x:row r="879" ht="19" customHeight="1">
      <x:c r="A879" s="90" t="n">
        <x:f>MONATSBUDGET!$A$50</x:f>
        <x:v>47515</x:v>
      </x:c>
      <x:c r="B879" t="n">
        <x:f>20</x:f>
        <x:v>20</x:v>
      </x:c>
      <x:c r="C879" t="str">
        <x:f>IF($N$28="","",$N$28)</x:f>
      </x:c>
      <x:c r="D879" s="88" t="str">
        <x:f>IF(C879="","",I859)</x:f>
      </x:c>
      <x:c r="E879" s="88" t="str">
        <x:f>IF(C879="","",ROUND(D879*$P$28/12,2))</x:f>
      </x:c>
      <x:c r="F879" s="88" t="str">
        <x:f>IF(C879="","",MIN(D879+E879,$Q$28))</x:f>
      </x:c>
      <x:c r="G879" s="88" t="str">
        <x:f>IF(C879="","",MIN(MAX(0,D879+E879-F879),SUMIFS(SONDERZAHLUNGEN!$E$9:$E$128,SONDERZAHLUNGEN!$B$9:$B$128,C879,SONDERZAHLUNGEN!$C$9:$C$128,A879,SONDERZAHLUNGEN!$H$9:$H$128,"OK",SONDERZAHLUNGEN!$F$9:$F$128,"Ja")))</x:f>
      </x:c>
      <x:c r="H879" s="88" t="str">
        <x:f>IF(C879="","",MIN(MAX(0,D879+E879-F879-G879),MAX(0,IF(MONATSBUDGET!$C$50="",0,MONATSBUDGET!$C$50)-SUM(F860:F879)-SUM(H860:H878))))</x:f>
      </x:c>
      <x:c r="I879" s="88" t="str">
        <x:f>IF(C879="","",MAX(0,ROUND(D879+E879-F879-G879-H879,2)))</x:f>
      </x:c>
      <x:c r="J879" s="88" t="str">
        <x:f>IF(C879="","",F879+G879+H879)</x:f>
      </x:c>
      <x:c r="K879" s="88" t="str">
        <x:f>IF(C879="","",MAX(0,SUMIFS(SONDERZAHLUNGEN!$E$9:$E$128,SONDERZAHLUNGEN!$B$9:$B$128,C879,SONDERZAHLUNGEN!$C$9:$C$128,A879,SONDERZAHLUNGEN!$H$9:$H$128,"OK",SONDERZAHLUNGEN!$F$9:$F$128,"Ja")-G879))</x:f>
      </x:c>
    </x:row>
    <x:row r="880" ht="19" customHeight="1">
      <x:c r="A880" s="90" t="n">
        <x:f>MONATSBUDGET!$A$51</x:f>
        <x:v>47543</x:v>
      </x:c>
      <x:c r="B880" t="n">
        <x:f>1</x:f>
        <x:v>1</x:v>
      </x:c>
      <x:c r="C880" t="str">
        <x:f>IF($N$9="","",$N$9)</x:f>
      </x:c>
      <x:c r="D880" s="88" t="str">
        <x:f>IF(C880="","",I860)</x:f>
      </x:c>
      <x:c r="E880" s="88" t="str">
        <x:f>IF(C880="","",ROUND(D880*$P$9/12,2))</x:f>
      </x:c>
      <x:c r="F880" s="88" t="str">
        <x:f>IF(C880="","",MIN(D880+E880,$Q$9))</x:f>
      </x:c>
      <x:c r="G880" s="88" t="str">
        <x:f>IF(C880="","",MIN(MAX(0,D880+E880-F880),SUMIFS(SONDERZAHLUNGEN!$E$9:$E$128,SONDERZAHLUNGEN!$B$9:$B$128,C880,SONDERZAHLUNGEN!$C$9:$C$128,A880,SONDERZAHLUNGEN!$H$9:$H$128,"OK",SONDERZAHLUNGEN!$F$9:$F$128,"Ja")))</x:f>
      </x:c>
      <x:c r="H880" s="88" t="str">
        <x:f>IF(C880="","",MIN(MAX(0,D880+E880-F880-G880),MAX(0,IF(MONATSBUDGET!$C$51="",0,MONATSBUDGET!$C$51)-SUM(F880:F899)-0)))</x:f>
      </x:c>
      <x:c r="I880" s="88" t="str">
        <x:f>IF(C880="","",MAX(0,ROUND(D880+E880-F880-G880-H880,2)))</x:f>
      </x:c>
      <x:c r="J880" s="88" t="str">
        <x:f>IF(C880="","",F880+G880+H880)</x:f>
      </x:c>
      <x:c r="K880" s="88" t="str">
        <x:f>IF(C880="","",MAX(0,SUMIFS(SONDERZAHLUNGEN!$E$9:$E$128,SONDERZAHLUNGEN!$B$9:$B$128,C880,SONDERZAHLUNGEN!$C$9:$C$128,A880,SONDERZAHLUNGEN!$H$9:$H$128,"OK",SONDERZAHLUNGEN!$F$9:$F$128,"Ja")-G880))</x:f>
      </x:c>
    </x:row>
    <x:row r="881" ht="19" customHeight="1">
      <x:c r="A881" s="90" t="n">
        <x:f>MONATSBUDGET!$A$51</x:f>
        <x:v>47543</x:v>
      </x:c>
      <x:c r="B881" t="n">
        <x:f>2</x:f>
        <x:v>2</x:v>
      </x:c>
      <x:c r="C881" t="str">
        <x:f>IF($N$10="","",$N$10)</x:f>
      </x:c>
      <x:c r="D881" s="88" t="str">
        <x:f>IF(C881="","",I861)</x:f>
      </x:c>
      <x:c r="E881" s="88" t="str">
        <x:f>IF(C881="","",ROUND(D881*$P$10/12,2))</x:f>
      </x:c>
      <x:c r="F881" s="88" t="str">
        <x:f>IF(C881="","",MIN(D881+E881,$Q$10))</x:f>
      </x:c>
      <x:c r="G881" s="88" t="str">
        <x:f>IF(C881="","",MIN(MAX(0,D881+E881-F881),SUMIFS(SONDERZAHLUNGEN!$E$9:$E$128,SONDERZAHLUNGEN!$B$9:$B$128,C881,SONDERZAHLUNGEN!$C$9:$C$128,A881,SONDERZAHLUNGEN!$H$9:$H$128,"OK",SONDERZAHLUNGEN!$F$9:$F$128,"Ja")))</x:f>
      </x:c>
      <x:c r="H881" s="88" t="str">
        <x:f>IF(C881="","",MIN(MAX(0,D881+E881-F881-G881),MAX(0,IF(MONATSBUDGET!$C$51="",0,MONATSBUDGET!$C$51)-SUM(F880:F899)-SUM(H880:H880))))</x:f>
      </x:c>
      <x:c r="I881" s="88" t="str">
        <x:f>IF(C881="","",MAX(0,ROUND(D881+E881-F881-G881-H881,2)))</x:f>
      </x:c>
      <x:c r="J881" s="88" t="str">
        <x:f>IF(C881="","",F881+G881+H881)</x:f>
      </x:c>
      <x:c r="K881" s="88" t="str">
        <x:f>IF(C881="","",MAX(0,SUMIFS(SONDERZAHLUNGEN!$E$9:$E$128,SONDERZAHLUNGEN!$B$9:$B$128,C881,SONDERZAHLUNGEN!$C$9:$C$128,A881,SONDERZAHLUNGEN!$H$9:$H$128,"OK",SONDERZAHLUNGEN!$F$9:$F$128,"Ja")-G881))</x:f>
      </x:c>
    </x:row>
    <x:row r="882" ht="19" customHeight="1">
      <x:c r="A882" s="90" t="n">
        <x:f>MONATSBUDGET!$A$51</x:f>
        <x:v>47543</x:v>
      </x:c>
      <x:c r="B882" t="n">
        <x:f>3</x:f>
        <x:v>3</x:v>
      </x:c>
      <x:c r="C882" t="str">
        <x:f>IF($N$11="","",$N$11)</x:f>
      </x:c>
      <x:c r="D882" s="88" t="str">
        <x:f>IF(C882="","",I862)</x:f>
      </x:c>
      <x:c r="E882" s="88" t="str">
        <x:f>IF(C882="","",ROUND(D882*$P$11/12,2))</x:f>
      </x:c>
      <x:c r="F882" s="88" t="str">
        <x:f>IF(C882="","",MIN(D882+E882,$Q$11))</x:f>
      </x:c>
      <x:c r="G882" s="88" t="str">
        <x:f>IF(C882="","",MIN(MAX(0,D882+E882-F882),SUMIFS(SONDERZAHLUNGEN!$E$9:$E$128,SONDERZAHLUNGEN!$B$9:$B$128,C882,SONDERZAHLUNGEN!$C$9:$C$128,A882,SONDERZAHLUNGEN!$H$9:$H$128,"OK",SONDERZAHLUNGEN!$F$9:$F$128,"Ja")))</x:f>
      </x:c>
      <x:c r="H882" s="88" t="str">
        <x:f>IF(C882="","",MIN(MAX(0,D882+E882-F882-G882),MAX(0,IF(MONATSBUDGET!$C$51="",0,MONATSBUDGET!$C$51)-SUM(F880:F899)-SUM(H880:H881))))</x:f>
      </x:c>
      <x:c r="I882" s="88" t="str">
        <x:f>IF(C882="","",MAX(0,ROUND(D882+E882-F882-G882-H882,2)))</x:f>
      </x:c>
      <x:c r="J882" s="88" t="str">
        <x:f>IF(C882="","",F882+G882+H882)</x:f>
      </x:c>
      <x:c r="K882" s="88" t="str">
        <x:f>IF(C882="","",MAX(0,SUMIFS(SONDERZAHLUNGEN!$E$9:$E$128,SONDERZAHLUNGEN!$B$9:$B$128,C882,SONDERZAHLUNGEN!$C$9:$C$128,A882,SONDERZAHLUNGEN!$H$9:$H$128,"OK",SONDERZAHLUNGEN!$F$9:$F$128,"Ja")-G882))</x:f>
      </x:c>
    </x:row>
    <x:row r="883" ht="19" customHeight="1">
      <x:c r="A883" s="90" t="n">
        <x:f>MONATSBUDGET!$A$51</x:f>
        <x:v>47543</x:v>
      </x:c>
      <x:c r="B883" t="n">
        <x:f>4</x:f>
        <x:v>4</x:v>
      </x:c>
      <x:c r="C883" t="str">
        <x:f>IF($N$12="","",$N$12)</x:f>
      </x:c>
      <x:c r="D883" s="88" t="str">
        <x:f>IF(C883="","",I863)</x:f>
      </x:c>
      <x:c r="E883" s="88" t="str">
        <x:f>IF(C883="","",ROUND(D883*$P$12/12,2))</x:f>
      </x:c>
      <x:c r="F883" s="88" t="str">
        <x:f>IF(C883="","",MIN(D883+E883,$Q$12))</x:f>
      </x:c>
      <x:c r="G883" s="88" t="str">
        <x:f>IF(C883="","",MIN(MAX(0,D883+E883-F883),SUMIFS(SONDERZAHLUNGEN!$E$9:$E$128,SONDERZAHLUNGEN!$B$9:$B$128,C883,SONDERZAHLUNGEN!$C$9:$C$128,A883,SONDERZAHLUNGEN!$H$9:$H$128,"OK",SONDERZAHLUNGEN!$F$9:$F$128,"Ja")))</x:f>
      </x:c>
      <x:c r="H883" s="88" t="str">
        <x:f>IF(C883="","",MIN(MAX(0,D883+E883-F883-G883),MAX(0,IF(MONATSBUDGET!$C$51="",0,MONATSBUDGET!$C$51)-SUM(F880:F899)-SUM(H880:H882))))</x:f>
      </x:c>
      <x:c r="I883" s="88" t="str">
        <x:f>IF(C883="","",MAX(0,ROUND(D883+E883-F883-G883-H883,2)))</x:f>
      </x:c>
      <x:c r="J883" s="88" t="str">
        <x:f>IF(C883="","",F883+G883+H883)</x:f>
      </x:c>
      <x:c r="K883" s="88" t="str">
        <x:f>IF(C883="","",MAX(0,SUMIFS(SONDERZAHLUNGEN!$E$9:$E$128,SONDERZAHLUNGEN!$B$9:$B$128,C883,SONDERZAHLUNGEN!$C$9:$C$128,A883,SONDERZAHLUNGEN!$H$9:$H$128,"OK",SONDERZAHLUNGEN!$F$9:$F$128,"Ja")-G883))</x:f>
      </x:c>
    </x:row>
    <x:row r="884" ht="19" customHeight="1">
      <x:c r="A884" s="90" t="n">
        <x:f>MONATSBUDGET!$A$51</x:f>
        <x:v>47543</x:v>
      </x:c>
      <x:c r="B884" t="n">
        <x:f>5</x:f>
        <x:v>5</x:v>
      </x:c>
      <x:c r="C884" t="str">
        <x:f>IF($N$13="","",$N$13)</x:f>
      </x:c>
      <x:c r="D884" s="88" t="str">
        <x:f>IF(C884="","",I864)</x:f>
      </x:c>
      <x:c r="E884" s="88" t="str">
        <x:f>IF(C884="","",ROUND(D884*$P$13/12,2))</x:f>
      </x:c>
      <x:c r="F884" s="88" t="str">
        <x:f>IF(C884="","",MIN(D884+E884,$Q$13))</x:f>
      </x:c>
      <x:c r="G884" s="88" t="str">
        <x:f>IF(C884="","",MIN(MAX(0,D884+E884-F884),SUMIFS(SONDERZAHLUNGEN!$E$9:$E$128,SONDERZAHLUNGEN!$B$9:$B$128,C884,SONDERZAHLUNGEN!$C$9:$C$128,A884,SONDERZAHLUNGEN!$H$9:$H$128,"OK",SONDERZAHLUNGEN!$F$9:$F$128,"Ja")))</x:f>
      </x:c>
      <x:c r="H884" s="88" t="str">
        <x:f>IF(C884="","",MIN(MAX(0,D884+E884-F884-G884),MAX(0,IF(MONATSBUDGET!$C$51="",0,MONATSBUDGET!$C$51)-SUM(F880:F899)-SUM(H880:H883))))</x:f>
      </x:c>
      <x:c r="I884" s="88" t="str">
        <x:f>IF(C884="","",MAX(0,ROUND(D884+E884-F884-G884-H884,2)))</x:f>
      </x:c>
      <x:c r="J884" s="88" t="str">
        <x:f>IF(C884="","",F884+G884+H884)</x:f>
      </x:c>
      <x:c r="K884" s="88" t="str">
        <x:f>IF(C884="","",MAX(0,SUMIFS(SONDERZAHLUNGEN!$E$9:$E$128,SONDERZAHLUNGEN!$B$9:$B$128,C884,SONDERZAHLUNGEN!$C$9:$C$128,A884,SONDERZAHLUNGEN!$H$9:$H$128,"OK",SONDERZAHLUNGEN!$F$9:$F$128,"Ja")-G884))</x:f>
      </x:c>
    </x:row>
    <x:row r="885" ht="19" customHeight="1">
      <x:c r="A885" s="90" t="n">
        <x:f>MONATSBUDGET!$A$51</x:f>
        <x:v>47543</x:v>
      </x:c>
      <x:c r="B885" t="n">
        <x:f>6</x:f>
        <x:v>6</x:v>
      </x:c>
      <x:c r="C885" t="str">
        <x:f>IF($N$14="","",$N$14)</x:f>
      </x:c>
      <x:c r="D885" s="88" t="str">
        <x:f>IF(C885="","",I865)</x:f>
      </x:c>
      <x:c r="E885" s="88" t="str">
        <x:f>IF(C885="","",ROUND(D885*$P$14/12,2))</x:f>
      </x:c>
      <x:c r="F885" s="88" t="str">
        <x:f>IF(C885="","",MIN(D885+E885,$Q$14))</x:f>
      </x:c>
      <x:c r="G885" s="88" t="str">
        <x:f>IF(C885="","",MIN(MAX(0,D885+E885-F885),SUMIFS(SONDERZAHLUNGEN!$E$9:$E$128,SONDERZAHLUNGEN!$B$9:$B$128,C885,SONDERZAHLUNGEN!$C$9:$C$128,A885,SONDERZAHLUNGEN!$H$9:$H$128,"OK",SONDERZAHLUNGEN!$F$9:$F$128,"Ja")))</x:f>
      </x:c>
      <x:c r="H885" s="88" t="str">
        <x:f>IF(C885="","",MIN(MAX(0,D885+E885-F885-G885),MAX(0,IF(MONATSBUDGET!$C$51="",0,MONATSBUDGET!$C$51)-SUM(F880:F899)-SUM(H880:H884))))</x:f>
      </x:c>
      <x:c r="I885" s="88" t="str">
        <x:f>IF(C885="","",MAX(0,ROUND(D885+E885-F885-G885-H885,2)))</x:f>
      </x:c>
      <x:c r="J885" s="88" t="str">
        <x:f>IF(C885="","",F885+G885+H885)</x:f>
      </x:c>
      <x:c r="K885" s="88" t="str">
        <x:f>IF(C885="","",MAX(0,SUMIFS(SONDERZAHLUNGEN!$E$9:$E$128,SONDERZAHLUNGEN!$B$9:$B$128,C885,SONDERZAHLUNGEN!$C$9:$C$128,A885,SONDERZAHLUNGEN!$H$9:$H$128,"OK",SONDERZAHLUNGEN!$F$9:$F$128,"Ja")-G885))</x:f>
      </x:c>
    </x:row>
    <x:row r="886" ht="19" customHeight="1">
      <x:c r="A886" s="90" t="n">
        <x:f>MONATSBUDGET!$A$51</x:f>
        <x:v>47543</x:v>
      </x:c>
      <x:c r="B886" t="n">
        <x:f>7</x:f>
        <x:v>7</x:v>
      </x:c>
      <x:c r="C886" t="str">
        <x:f>IF($N$15="","",$N$15)</x:f>
      </x:c>
      <x:c r="D886" s="88" t="str">
        <x:f>IF(C886="","",I866)</x:f>
      </x:c>
      <x:c r="E886" s="88" t="str">
        <x:f>IF(C886="","",ROUND(D886*$P$15/12,2))</x:f>
      </x:c>
      <x:c r="F886" s="88" t="str">
        <x:f>IF(C886="","",MIN(D886+E886,$Q$15))</x:f>
      </x:c>
      <x:c r="G886" s="88" t="str">
        <x:f>IF(C886="","",MIN(MAX(0,D886+E886-F886),SUMIFS(SONDERZAHLUNGEN!$E$9:$E$128,SONDERZAHLUNGEN!$B$9:$B$128,C886,SONDERZAHLUNGEN!$C$9:$C$128,A886,SONDERZAHLUNGEN!$H$9:$H$128,"OK",SONDERZAHLUNGEN!$F$9:$F$128,"Ja")))</x:f>
      </x:c>
      <x:c r="H886" s="88" t="str">
        <x:f>IF(C886="","",MIN(MAX(0,D886+E886-F886-G886),MAX(0,IF(MONATSBUDGET!$C$51="",0,MONATSBUDGET!$C$51)-SUM(F880:F899)-SUM(H880:H885))))</x:f>
      </x:c>
      <x:c r="I886" s="88" t="str">
        <x:f>IF(C886="","",MAX(0,ROUND(D886+E886-F886-G886-H886,2)))</x:f>
      </x:c>
      <x:c r="J886" s="88" t="str">
        <x:f>IF(C886="","",F886+G886+H886)</x:f>
      </x:c>
      <x:c r="K886" s="88" t="str">
        <x:f>IF(C886="","",MAX(0,SUMIFS(SONDERZAHLUNGEN!$E$9:$E$128,SONDERZAHLUNGEN!$B$9:$B$128,C886,SONDERZAHLUNGEN!$C$9:$C$128,A886,SONDERZAHLUNGEN!$H$9:$H$128,"OK",SONDERZAHLUNGEN!$F$9:$F$128,"Ja")-G886))</x:f>
      </x:c>
    </x:row>
    <x:row r="887" ht="19" customHeight="1">
      <x:c r="A887" s="90" t="n">
        <x:f>MONATSBUDGET!$A$51</x:f>
        <x:v>47543</x:v>
      </x:c>
      <x:c r="B887" t="n">
        <x:f>8</x:f>
        <x:v>8</x:v>
      </x:c>
      <x:c r="C887" t="str">
        <x:f>IF($N$16="","",$N$16)</x:f>
      </x:c>
      <x:c r="D887" s="88" t="str">
        <x:f>IF(C887="","",I867)</x:f>
      </x:c>
      <x:c r="E887" s="88" t="str">
        <x:f>IF(C887="","",ROUND(D887*$P$16/12,2))</x:f>
      </x:c>
      <x:c r="F887" s="88" t="str">
        <x:f>IF(C887="","",MIN(D887+E887,$Q$16))</x:f>
      </x:c>
      <x:c r="G887" s="88" t="str">
        <x:f>IF(C887="","",MIN(MAX(0,D887+E887-F887),SUMIFS(SONDERZAHLUNGEN!$E$9:$E$128,SONDERZAHLUNGEN!$B$9:$B$128,C887,SONDERZAHLUNGEN!$C$9:$C$128,A887,SONDERZAHLUNGEN!$H$9:$H$128,"OK",SONDERZAHLUNGEN!$F$9:$F$128,"Ja")))</x:f>
      </x:c>
      <x:c r="H887" s="88" t="str">
        <x:f>IF(C887="","",MIN(MAX(0,D887+E887-F887-G887),MAX(0,IF(MONATSBUDGET!$C$51="",0,MONATSBUDGET!$C$51)-SUM(F880:F899)-SUM(H880:H886))))</x:f>
      </x:c>
      <x:c r="I887" s="88" t="str">
        <x:f>IF(C887="","",MAX(0,ROUND(D887+E887-F887-G887-H887,2)))</x:f>
      </x:c>
      <x:c r="J887" s="88" t="str">
        <x:f>IF(C887="","",F887+G887+H887)</x:f>
      </x:c>
      <x:c r="K887" s="88" t="str">
        <x:f>IF(C887="","",MAX(0,SUMIFS(SONDERZAHLUNGEN!$E$9:$E$128,SONDERZAHLUNGEN!$B$9:$B$128,C887,SONDERZAHLUNGEN!$C$9:$C$128,A887,SONDERZAHLUNGEN!$H$9:$H$128,"OK",SONDERZAHLUNGEN!$F$9:$F$128,"Ja")-G887))</x:f>
      </x:c>
    </x:row>
    <x:row r="888" ht="19" customHeight="1">
      <x:c r="A888" s="90" t="n">
        <x:f>MONATSBUDGET!$A$51</x:f>
        <x:v>47543</x:v>
      </x:c>
      <x:c r="B888" t="n">
        <x:f>9</x:f>
        <x:v>9</x:v>
      </x:c>
      <x:c r="C888" t="str">
        <x:f>IF($N$17="","",$N$17)</x:f>
      </x:c>
      <x:c r="D888" s="88" t="str">
        <x:f>IF(C888="","",I868)</x:f>
      </x:c>
      <x:c r="E888" s="88" t="str">
        <x:f>IF(C888="","",ROUND(D888*$P$17/12,2))</x:f>
      </x:c>
      <x:c r="F888" s="88" t="str">
        <x:f>IF(C888="","",MIN(D888+E888,$Q$17))</x:f>
      </x:c>
      <x:c r="G888" s="88" t="str">
        <x:f>IF(C888="","",MIN(MAX(0,D888+E888-F888),SUMIFS(SONDERZAHLUNGEN!$E$9:$E$128,SONDERZAHLUNGEN!$B$9:$B$128,C888,SONDERZAHLUNGEN!$C$9:$C$128,A888,SONDERZAHLUNGEN!$H$9:$H$128,"OK",SONDERZAHLUNGEN!$F$9:$F$128,"Ja")))</x:f>
      </x:c>
      <x:c r="H888" s="88" t="str">
        <x:f>IF(C888="","",MIN(MAX(0,D888+E888-F888-G888),MAX(0,IF(MONATSBUDGET!$C$51="",0,MONATSBUDGET!$C$51)-SUM(F880:F899)-SUM(H880:H887))))</x:f>
      </x:c>
      <x:c r="I888" s="88" t="str">
        <x:f>IF(C888="","",MAX(0,ROUND(D888+E888-F888-G888-H888,2)))</x:f>
      </x:c>
      <x:c r="J888" s="88" t="str">
        <x:f>IF(C888="","",F888+G888+H888)</x:f>
      </x:c>
      <x:c r="K888" s="88" t="str">
        <x:f>IF(C888="","",MAX(0,SUMIFS(SONDERZAHLUNGEN!$E$9:$E$128,SONDERZAHLUNGEN!$B$9:$B$128,C888,SONDERZAHLUNGEN!$C$9:$C$128,A888,SONDERZAHLUNGEN!$H$9:$H$128,"OK",SONDERZAHLUNGEN!$F$9:$F$128,"Ja")-G888))</x:f>
      </x:c>
    </x:row>
    <x:row r="889" ht="19" customHeight="1">
      <x:c r="A889" s="90" t="n">
        <x:f>MONATSBUDGET!$A$51</x:f>
        <x:v>47543</x:v>
      </x:c>
      <x:c r="B889" t="n">
        <x:f>10</x:f>
        <x:v>10</x:v>
      </x:c>
      <x:c r="C889" t="str">
        <x:f>IF($N$18="","",$N$18)</x:f>
      </x:c>
      <x:c r="D889" s="88" t="str">
        <x:f>IF(C889="","",I869)</x:f>
      </x:c>
      <x:c r="E889" s="88" t="str">
        <x:f>IF(C889="","",ROUND(D889*$P$18/12,2))</x:f>
      </x:c>
      <x:c r="F889" s="88" t="str">
        <x:f>IF(C889="","",MIN(D889+E889,$Q$18))</x:f>
      </x:c>
      <x:c r="G889" s="88" t="str">
        <x:f>IF(C889="","",MIN(MAX(0,D889+E889-F889),SUMIFS(SONDERZAHLUNGEN!$E$9:$E$128,SONDERZAHLUNGEN!$B$9:$B$128,C889,SONDERZAHLUNGEN!$C$9:$C$128,A889,SONDERZAHLUNGEN!$H$9:$H$128,"OK",SONDERZAHLUNGEN!$F$9:$F$128,"Ja")))</x:f>
      </x:c>
      <x:c r="H889" s="88" t="str">
        <x:f>IF(C889="","",MIN(MAX(0,D889+E889-F889-G889),MAX(0,IF(MONATSBUDGET!$C$51="",0,MONATSBUDGET!$C$51)-SUM(F880:F899)-SUM(H880:H888))))</x:f>
      </x:c>
      <x:c r="I889" s="88" t="str">
        <x:f>IF(C889="","",MAX(0,ROUND(D889+E889-F889-G889-H889,2)))</x:f>
      </x:c>
      <x:c r="J889" s="88" t="str">
        <x:f>IF(C889="","",F889+G889+H889)</x:f>
      </x:c>
      <x:c r="K889" s="88" t="str">
        <x:f>IF(C889="","",MAX(0,SUMIFS(SONDERZAHLUNGEN!$E$9:$E$128,SONDERZAHLUNGEN!$B$9:$B$128,C889,SONDERZAHLUNGEN!$C$9:$C$128,A889,SONDERZAHLUNGEN!$H$9:$H$128,"OK",SONDERZAHLUNGEN!$F$9:$F$128,"Ja")-G889))</x:f>
      </x:c>
    </x:row>
    <x:row r="890" ht="19" customHeight="1">
      <x:c r="A890" s="90" t="n">
        <x:f>MONATSBUDGET!$A$51</x:f>
        <x:v>47543</x:v>
      </x:c>
      <x:c r="B890" t="n">
        <x:f>11</x:f>
        <x:v>11</x:v>
      </x:c>
      <x:c r="C890" t="str">
        <x:f>IF($N$19="","",$N$19)</x:f>
      </x:c>
      <x:c r="D890" s="88" t="str">
        <x:f>IF(C890="","",I870)</x:f>
      </x:c>
      <x:c r="E890" s="88" t="str">
        <x:f>IF(C890="","",ROUND(D890*$P$19/12,2))</x:f>
      </x:c>
      <x:c r="F890" s="88" t="str">
        <x:f>IF(C890="","",MIN(D890+E890,$Q$19))</x:f>
      </x:c>
      <x:c r="G890" s="88" t="str">
        <x:f>IF(C890="","",MIN(MAX(0,D890+E890-F890),SUMIFS(SONDERZAHLUNGEN!$E$9:$E$128,SONDERZAHLUNGEN!$B$9:$B$128,C890,SONDERZAHLUNGEN!$C$9:$C$128,A890,SONDERZAHLUNGEN!$H$9:$H$128,"OK",SONDERZAHLUNGEN!$F$9:$F$128,"Ja")))</x:f>
      </x:c>
      <x:c r="H890" s="88" t="str">
        <x:f>IF(C890="","",MIN(MAX(0,D890+E890-F890-G890),MAX(0,IF(MONATSBUDGET!$C$51="",0,MONATSBUDGET!$C$51)-SUM(F880:F899)-SUM(H880:H889))))</x:f>
      </x:c>
      <x:c r="I890" s="88" t="str">
        <x:f>IF(C890="","",MAX(0,ROUND(D890+E890-F890-G890-H890,2)))</x:f>
      </x:c>
      <x:c r="J890" s="88" t="str">
        <x:f>IF(C890="","",F890+G890+H890)</x:f>
      </x:c>
      <x:c r="K890" s="88" t="str">
        <x:f>IF(C890="","",MAX(0,SUMIFS(SONDERZAHLUNGEN!$E$9:$E$128,SONDERZAHLUNGEN!$B$9:$B$128,C890,SONDERZAHLUNGEN!$C$9:$C$128,A890,SONDERZAHLUNGEN!$H$9:$H$128,"OK",SONDERZAHLUNGEN!$F$9:$F$128,"Ja")-G890))</x:f>
      </x:c>
    </x:row>
    <x:row r="891" ht="19" customHeight="1">
      <x:c r="A891" s="90" t="n">
        <x:f>MONATSBUDGET!$A$51</x:f>
        <x:v>47543</x:v>
      </x:c>
      <x:c r="B891" t="n">
        <x:f>12</x:f>
        <x:v>12</x:v>
      </x:c>
      <x:c r="C891" t="str">
        <x:f>IF($N$20="","",$N$20)</x:f>
      </x:c>
      <x:c r="D891" s="88" t="str">
        <x:f>IF(C891="","",I871)</x:f>
      </x:c>
      <x:c r="E891" s="88" t="str">
        <x:f>IF(C891="","",ROUND(D891*$P$20/12,2))</x:f>
      </x:c>
      <x:c r="F891" s="88" t="str">
        <x:f>IF(C891="","",MIN(D891+E891,$Q$20))</x:f>
      </x:c>
      <x:c r="G891" s="88" t="str">
        <x:f>IF(C891="","",MIN(MAX(0,D891+E891-F891),SUMIFS(SONDERZAHLUNGEN!$E$9:$E$128,SONDERZAHLUNGEN!$B$9:$B$128,C891,SONDERZAHLUNGEN!$C$9:$C$128,A891,SONDERZAHLUNGEN!$H$9:$H$128,"OK",SONDERZAHLUNGEN!$F$9:$F$128,"Ja")))</x:f>
      </x:c>
      <x:c r="H891" s="88" t="str">
        <x:f>IF(C891="","",MIN(MAX(0,D891+E891-F891-G891),MAX(0,IF(MONATSBUDGET!$C$51="",0,MONATSBUDGET!$C$51)-SUM(F880:F899)-SUM(H880:H890))))</x:f>
      </x:c>
      <x:c r="I891" s="88" t="str">
        <x:f>IF(C891="","",MAX(0,ROUND(D891+E891-F891-G891-H891,2)))</x:f>
      </x:c>
      <x:c r="J891" s="88" t="str">
        <x:f>IF(C891="","",F891+G891+H891)</x:f>
      </x:c>
      <x:c r="K891" s="88" t="str">
        <x:f>IF(C891="","",MAX(0,SUMIFS(SONDERZAHLUNGEN!$E$9:$E$128,SONDERZAHLUNGEN!$B$9:$B$128,C891,SONDERZAHLUNGEN!$C$9:$C$128,A891,SONDERZAHLUNGEN!$H$9:$H$128,"OK",SONDERZAHLUNGEN!$F$9:$F$128,"Ja")-G891))</x:f>
      </x:c>
    </x:row>
    <x:row r="892" ht="19" customHeight="1">
      <x:c r="A892" s="90" t="n">
        <x:f>MONATSBUDGET!$A$51</x:f>
        <x:v>47543</x:v>
      </x:c>
      <x:c r="B892" t="n">
        <x:f>13</x:f>
        <x:v>13</x:v>
      </x:c>
      <x:c r="C892" t="str">
        <x:f>IF($N$21="","",$N$21)</x:f>
      </x:c>
      <x:c r="D892" s="88" t="str">
        <x:f>IF(C892="","",I872)</x:f>
      </x:c>
      <x:c r="E892" s="88" t="str">
        <x:f>IF(C892="","",ROUND(D892*$P$21/12,2))</x:f>
      </x:c>
      <x:c r="F892" s="88" t="str">
        <x:f>IF(C892="","",MIN(D892+E892,$Q$21))</x:f>
      </x:c>
      <x:c r="G892" s="88" t="str">
        <x:f>IF(C892="","",MIN(MAX(0,D892+E892-F892),SUMIFS(SONDERZAHLUNGEN!$E$9:$E$128,SONDERZAHLUNGEN!$B$9:$B$128,C892,SONDERZAHLUNGEN!$C$9:$C$128,A892,SONDERZAHLUNGEN!$H$9:$H$128,"OK",SONDERZAHLUNGEN!$F$9:$F$128,"Ja")))</x:f>
      </x:c>
      <x:c r="H892" s="88" t="str">
        <x:f>IF(C892="","",MIN(MAX(0,D892+E892-F892-G892),MAX(0,IF(MONATSBUDGET!$C$51="",0,MONATSBUDGET!$C$51)-SUM(F880:F899)-SUM(H880:H891))))</x:f>
      </x:c>
      <x:c r="I892" s="88" t="str">
        <x:f>IF(C892="","",MAX(0,ROUND(D892+E892-F892-G892-H892,2)))</x:f>
      </x:c>
      <x:c r="J892" s="88" t="str">
        <x:f>IF(C892="","",F892+G892+H892)</x:f>
      </x:c>
      <x:c r="K892" s="88" t="str">
        <x:f>IF(C892="","",MAX(0,SUMIFS(SONDERZAHLUNGEN!$E$9:$E$128,SONDERZAHLUNGEN!$B$9:$B$128,C892,SONDERZAHLUNGEN!$C$9:$C$128,A892,SONDERZAHLUNGEN!$H$9:$H$128,"OK",SONDERZAHLUNGEN!$F$9:$F$128,"Ja")-G892))</x:f>
      </x:c>
    </x:row>
    <x:row r="893" ht="19" customHeight="1">
      <x:c r="A893" s="90" t="n">
        <x:f>MONATSBUDGET!$A$51</x:f>
        <x:v>47543</x:v>
      </x:c>
      <x:c r="B893" t="n">
        <x:f>14</x:f>
        <x:v>14</x:v>
      </x:c>
      <x:c r="C893" t="str">
        <x:f>IF($N$22="","",$N$22)</x:f>
      </x:c>
      <x:c r="D893" s="88" t="str">
        <x:f>IF(C893="","",I873)</x:f>
      </x:c>
      <x:c r="E893" s="88" t="str">
        <x:f>IF(C893="","",ROUND(D893*$P$22/12,2))</x:f>
      </x:c>
      <x:c r="F893" s="88" t="str">
        <x:f>IF(C893="","",MIN(D893+E893,$Q$22))</x:f>
      </x:c>
      <x:c r="G893" s="88" t="str">
        <x:f>IF(C893="","",MIN(MAX(0,D893+E893-F893),SUMIFS(SONDERZAHLUNGEN!$E$9:$E$128,SONDERZAHLUNGEN!$B$9:$B$128,C893,SONDERZAHLUNGEN!$C$9:$C$128,A893,SONDERZAHLUNGEN!$H$9:$H$128,"OK",SONDERZAHLUNGEN!$F$9:$F$128,"Ja")))</x:f>
      </x:c>
      <x:c r="H893" s="88" t="str">
        <x:f>IF(C893="","",MIN(MAX(0,D893+E893-F893-G893),MAX(0,IF(MONATSBUDGET!$C$51="",0,MONATSBUDGET!$C$51)-SUM(F880:F899)-SUM(H880:H892))))</x:f>
      </x:c>
      <x:c r="I893" s="88" t="str">
        <x:f>IF(C893="","",MAX(0,ROUND(D893+E893-F893-G893-H893,2)))</x:f>
      </x:c>
      <x:c r="J893" s="88" t="str">
        <x:f>IF(C893="","",F893+G893+H893)</x:f>
      </x:c>
      <x:c r="K893" s="88" t="str">
        <x:f>IF(C893="","",MAX(0,SUMIFS(SONDERZAHLUNGEN!$E$9:$E$128,SONDERZAHLUNGEN!$B$9:$B$128,C893,SONDERZAHLUNGEN!$C$9:$C$128,A893,SONDERZAHLUNGEN!$H$9:$H$128,"OK",SONDERZAHLUNGEN!$F$9:$F$128,"Ja")-G893))</x:f>
      </x:c>
    </x:row>
    <x:row r="894" ht="19" customHeight="1">
      <x:c r="A894" s="90" t="n">
        <x:f>MONATSBUDGET!$A$51</x:f>
        <x:v>47543</x:v>
      </x:c>
      <x:c r="B894" t="n">
        <x:f>15</x:f>
        <x:v>15</x:v>
      </x:c>
      <x:c r="C894" t="str">
        <x:f>IF($N$23="","",$N$23)</x:f>
      </x:c>
      <x:c r="D894" s="88" t="str">
        <x:f>IF(C894="","",I874)</x:f>
      </x:c>
      <x:c r="E894" s="88" t="str">
        <x:f>IF(C894="","",ROUND(D894*$P$23/12,2))</x:f>
      </x:c>
      <x:c r="F894" s="88" t="str">
        <x:f>IF(C894="","",MIN(D894+E894,$Q$23))</x:f>
      </x:c>
      <x:c r="G894" s="88" t="str">
        <x:f>IF(C894="","",MIN(MAX(0,D894+E894-F894),SUMIFS(SONDERZAHLUNGEN!$E$9:$E$128,SONDERZAHLUNGEN!$B$9:$B$128,C894,SONDERZAHLUNGEN!$C$9:$C$128,A894,SONDERZAHLUNGEN!$H$9:$H$128,"OK",SONDERZAHLUNGEN!$F$9:$F$128,"Ja")))</x:f>
      </x:c>
      <x:c r="H894" s="88" t="str">
        <x:f>IF(C894="","",MIN(MAX(0,D894+E894-F894-G894),MAX(0,IF(MONATSBUDGET!$C$51="",0,MONATSBUDGET!$C$51)-SUM(F880:F899)-SUM(H880:H893))))</x:f>
      </x:c>
      <x:c r="I894" s="88" t="str">
        <x:f>IF(C894="","",MAX(0,ROUND(D894+E894-F894-G894-H894,2)))</x:f>
      </x:c>
      <x:c r="J894" s="88" t="str">
        <x:f>IF(C894="","",F894+G894+H894)</x:f>
      </x:c>
      <x:c r="K894" s="88" t="str">
        <x:f>IF(C894="","",MAX(0,SUMIFS(SONDERZAHLUNGEN!$E$9:$E$128,SONDERZAHLUNGEN!$B$9:$B$128,C894,SONDERZAHLUNGEN!$C$9:$C$128,A894,SONDERZAHLUNGEN!$H$9:$H$128,"OK",SONDERZAHLUNGEN!$F$9:$F$128,"Ja")-G894))</x:f>
      </x:c>
    </x:row>
    <x:row r="895" ht="19" customHeight="1">
      <x:c r="A895" s="90" t="n">
        <x:f>MONATSBUDGET!$A$51</x:f>
        <x:v>47543</x:v>
      </x:c>
      <x:c r="B895" t="n">
        <x:f>16</x:f>
        <x:v>16</x:v>
      </x:c>
      <x:c r="C895" t="str">
        <x:f>IF($N$24="","",$N$24)</x:f>
      </x:c>
      <x:c r="D895" s="88" t="str">
        <x:f>IF(C895="","",I875)</x:f>
      </x:c>
      <x:c r="E895" s="88" t="str">
        <x:f>IF(C895="","",ROUND(D895*$P$24/12,2))</x:f>
      </x:c>
      <x:c r="F895" s="88" t="str">
        <x:f>IF(C895="","",MIN(D895+E895,$Q$24))</x:f>
      </x:c>
      <x:c r="G895" s="88" t="str">
        <x:f>IF(C895="","",MIN(MAX(0,D895+E895-F895),SUMIFS(SONDERZAHLUNGEN!$E$9:$E$128,SONDERZAHLUNGEN!$B$9:$B$128,C895,SONDERZAHLUNGEN!$C$9:$C$128,A895,SONDERZAHLUNGEN!$H$9:$H$128,"OK",SONDERZAHLUNGEN!$F$9:$F$128,"Ja")))</x:f>
      </x:c>
      <x:c r="H895" s="88" t="str">
        <x:f>IF(C895="","",MIN(MAX(0,D895+E895-F895-G895),MAX(0,IF(MONATSBUDGET!$C$51="",0,MONATSBUDGET!$C$51)-SUM(F880:F899)-SUM(H880:H894))))</x:f>
      </x:c>
      <x:c r="I895" s="88" t="str">
        <x:f>IF(C895="","",MAX(0,ROUND(D895+E895-F895-G895-H895,2)))</x:f>
      </x:c>
      <x:c r="J895" s="88" t="str">
        <x:f>IF(C895="","",F895+G895+H895)</x:f>
      </x:c>
      <x:c r="K895" s="88" t="str">
        <x:f>IF(C895="","",MAX(0,SUMIFS(SONDERZAHLUNGEN!$E$9:$E$128,SONDERZAHLUNGEN!$B$9:$B$128,C895,SONDERZAHLUNGEN!$C$9:$C$128,A895,SONDERZAHLUNGEN!$H$9:$H$128,"OK",SONDERZAHLUNGEN!$F$9:$F$128,"Ja")-G895))</x:f>
      </x:c>
    </x:row>
    <x:row r="896" ht="19" customHeight="1">
      <x:c r="A896" s="90" t="n">
        <x:f>MONATSBUDGET!$A$51</x:f>
        <x:v>47543</x:v>
      </x:c>
      <x:c r="B896" t="n">
        <x:f>17</x:f>
        <x:v>17</x:v>
      </x:c>
      <x:c r="C896" t="str">
        <x:f>IF($N$25="","",$N$25)</x:f>
      </x:c>
      <x:c r="D896" s="88" t="str">
        <x:f>IF(C896="","",I876)</x:f>
      </x:c>
      <x:c r="E896" s="88" t="str">
        <x:f>IF(C896="","",ROUND(D896*$P$25/12,2))</x:f>
      </x:c>
      <x:c r="F896" s="88" t="str">
        <x:f>IF(C896="","",MIN(D896+E896,$Q$25))</x:f>
      </x:c>
      <x:c r="G896" s="88" t="str">
        <x:f>IF(C896="","",MIN(MAX(0,D896+E896-F896),SUMIFS(SONDERZAHLUNGEN!$E$9:$E$128,SONDERZAHLUNGEN!$B$9:$B$128,C896,SONDERZAHLUNGEN!$C$9:$C$128,A896,SONDERZAHLUNGEN!$H$9:$H$128,"OK",SONDERZAHLUNGEN!$F$9:$F$128,"Ja")))</x:f>
      </x:c>
      <x:c r="H896" s="88" t="str">
        <x:f>IF(C896="","",MIN(MAX(0,D896+E896-F896-G896),MAX(0,IF(MONATSBUDGET!$C$51="",0,MONATSBUDGET!$C$51)-SUM(F880:F899)-SUM(H880:H895))))</x:f>
      </x:c>
      <x:c r="I896" s="88" t="str">
        <x:f>IF(C896="","",MAX(0,ROUND(D896+E896-F896-G896-H896,2)))</x:f>
      </x:c>
      <x:c r="J896" s="88" t="str">
        <x:f>IF(C896="","",F896+G896+H896)</x:f>
      </x:c>
      <x:c r="K896" s="88" t="str">
        <x:f>IF(C896="","",MAX(0,SUMIFS(SONDERZAHLUNGEN!$E$9:$E$128,SONDERZAHLUNGEN!$B$9:$B$128,C896,SONDERZAHLUNGEN!$C$9:$C$128,A896,SONDERZAHLUNGEN!$H$9:$H$128,"OK",SONDERZAHLUNGEN!$F$9:$F$128,"Ja")-G896))</x:f>
      </x:c>
    </x:row>
    <x:row r="897" ht="19" customHeight="1">
      <x:c r="A897" s="90" t="n">
        <x:f>MONATSBUDGET!$A$51</x:f>
        <x:v>47543</x:v>
      </x:c>
      <x:c r="B897" t="n">
        <x:f>18</x:f>
        <x:v>18</x:v>
      </x:c>
      <x:c r="C897" t="str">
        <x:f>IF($N$26="","",$N$26)</x:f>
      </x:c>
      <x:c r="D897" s="88" t="str">
        <x:f>IF(C897="","",I877)</x:f>
      </x:c>
      <x:c r="E897" s="88" t="str">
        <x:f>IF(C897="","",ROUND(D897*$P$26/12,2))</x:f>
      </x:c>
      <x:c r="F897" s="88" t="str">
        <x:f>IF(C897="","",MIN(D897+E897,$Q$26))</x:f>
      </x:c>
      <x:c r="G897" s="88" t="str">
        <x:f>IF(C897="","",MIN(MAX(0,D897+E897-F897),SUMIFS(SONDERZAHLUNGEN!$E$9:$E$128,SONDERZAHLUNGEN!$B$9:$B$128,C897,SONDERZAHLUNGEN!$C$9:$C$128,A897,SONDERZAHLUNGEN!$H$9:$H$128,"OK",SONDERZAHLUNGEN!$F$9:$F$128,"Ja")))</x:f>
      </x:c>
      <x:c r="H897" s="88" t="str">
        <x:f>IF(C897="","",MIN(MAX(0,D897+E897-F897-G897),MAX(0,IF(MONATSBUDGET!$C$51="",0,MONATSBUDGET!$C$51)-SUM(F880:F899)-SUM(H880:H896))))</x:f>
      </x:c>
      <x:c r="I897" s="88" t="str">
        <x:f>IF(C897="","",MAX(0,ROUND(D897+E897-F897-G897-H897,2)))</x:f>
      </x:c>
      <x:c r="J897" s="88" t="str">
        <x:f>IF(C897="","",F897+G897+H897)</x:f>
      </x:c>
      <x:c r="K897" s="88" t="str">
        <x:f>IF(C897="","",MAX(0,SUMIFS(SONDERZAHLUNGEN!$E$9:$E$128,SONDERZAHLUNGEN!$B$9:$B$128,C897,SONDERZAHLUNGEN!$C$9:$C$128,A897,SONDERZAHLUNGEN!$H$9:$H$128,"OK",SONDERZAHLUNGEN!$F$9:$F$128,"Ja")-G897))</x:f>
      </x:c>
    </x:row>
    <x:row r="898" ht="19" customHeight="1">
      <x:c r="A898" s="90" t="n">
        <x:f>MONATSBUDGET!$A$51</x:f>
        <x:v>47543</x:v>
      </x:c>
      <x:c r="B898" t="n">
        <x:f>19</x:f>
        <x:v>19</x:v>
      </x:c>
      <x:c r="C898" t="str">
        <x:f>IF($N$27="","",$N$27)</x:f>
      </x:c>
      <x:c r="D898" s="88" t="str">
        <x:f>IF(C898="","",I878)</x:f>
      </x:c>
      <x:c r="E898" s="88" t="str">
        <x:f>IF(C898="","",ROUND(D898*$P$27/12,2))</x:f>
      </x:c>
      <x:c r="F898" s="88" t="str">
        <x:f>IF(C898="","",MIN(D898+E898,$Q$27))</x:f>
      </x:c>
      <x:c r="G898" s="88" t="str">
        <x:f>IF(C898="","",MIN(MAX(0,D898+E898-F898),SUMIFS(SONDERZAHLUNGEN!$E$9:$E$128,SONDERZAHLUNGEN!$B$9:$B$128,C898,SONDERZAHLUNGEN!$C$9:$C$128,A898,SONDERZAHLUNGEN!$H$9:$H$128,"OK",SONDERZAHLUNGEN!$F$9:$F$128,"Ja")))</x:f>
      </x:c>
      <x:c r="H898" s="88" t="str">
        <x:f>IF(C898="","",MIN(MAX(0,D898+E898-F898-G898),MAX(0,IF(MONATSBUDGET!$C$51="",0,MONATSBUDGET!$C$51)-SUM(F880:F899)-SUM(H880:H897))))</x:f>
      </x:c>
      <x:c r="I898" s="88" t="str">
        <x:f>IF(C898="","",MAX(0,ROUND(D898+E898-F898-G898-H898,2)))</x:f>
      </x:c>
      <x:c r="J898" s="88" t="str">
        <x:f>IF(C898="","",F898+G898+H898)</x:f>
      </x:c>
      <x:c r="K898" s="88" t="str">
        <x:f>IF(C898="","",MAX(0,SUMIFS(SONDERZAHLUNGEN!$E$9:$E$128,SONDERZAHLUNGEN!$B$9:$B$128,C898,SONDERZAHLUNGEN!$C$9:$C$128,A898,SONDERZAHLUNGEN!$H$9:$H$128,"OK",SONDERZAHLUNGEN!$F$9:$F$128,"Ja")-G898))</x:f>
      </x:c>
    </x:row>
    <x:row r="899" ht="19" customHeight="1">
      <x:c r="A899" s="90" t="n">
        <x:f>MONATSBUDGET!$A$51</x:f>
        <x:v>47543</x:v>
      </x:c>
      <x:c r="B899" t="n">
        <x:f>20</x:f>
        <x:v>20</x:v>
      </x:c>
      <x:c r="C899" t="str">
        <x:f>IF($N$28="","",$N$28)</x:f>
      </x:c>
      <x:c r="D899" s="88" t="str">
        <x:f>IF(C899="","",I879)</x:f>
      </x:c>
      <x:c r="E899" s="88" t="str">
        <x:f>IF(C899="","",ROUND(D899*$P$28/12,2))</x:f>
      </x:c>
      <x:c r="F899" s="88" t="str">
        <x:f>IF(C899="","",MIN(D899+E899,$Q$28))</x:f>
      </x:c>
      <x:c r="G899" s="88" t="str">
        <x:f>IF(C899="","",MIN(MAX(0,D899+E899-F899),SUMIFS(SONDERZAHLUNGEN!$E$9:$E$128,SONDERZAHLUNGEN!$B$9:$B$128,C899,SONDERZAHLUNGEN!$C$9:$C$128,A899,SONDERZAHLUNGEN!$H$9:$H$128,"OK",SONDERZAHLUNGEN!$F$9:$F$128,"Ja")))</x:f>
      </x:c>
      <x:c r="H899" s="88" t="str">
        <x:f>IF(C899="","",MIN(MAX(0,D899+E899-F899-G899),MAX(0,IF(MONATSBUDGET!$C$51="",0,MONATSBUDGET!$C$51)-SUM(F880:F899)-SUM(H880:H898))))</x:f>
      </x:c>
      <x:c r="I899" s="88" t="str">
        <x:f>IF(C899="","",MAX(0,ROUND(D899+E899-F899-G899-H899,2)))</x:f>
      </x:c>
      <x:c r="J899" s="88" t="str">
        <x:f>IF(C899="","",F899+G899+H899)</x:f>
      </x:c>
      <x:c r="K899" s="88" t="str">
        <x:f>IF(C899="","",MAX(0,SUMIFS(SONDERZAHLUNGEN!$E$9:$E$128,SONDERZAHLUNGEN!$B$9:$B$128,C899,SONDERZAHLUNGEN!$C$9:$C$128,A899,SONDERZAHLUNGEN!$H$9:$H$128,"OK",SONDERZAHLUNGEN!$F$9:$F$128,"Ja")-G899))</x:f>
      </x:c>
    </x:row>
    <x:row r="900" ht="19" customHeight="1">
      <x:c r="A900" s="90" t="n">
        <x:f>MONATSBUDGET!$A$52</x:f>
        <x:v>47574</x:v>
      </x:c>
      <x:c r="B900" t="n">
        <x:f>1</x:f>
        <x:v>1</x:v>
      </x:c>
      <x:c r="C900" t="str">
        <x:f>IF($N$9="","",$N$9)</x:f>
      </x:c>
      <x:c r="D900" s="88" t="str">
        <x:f>IF(C900="","",I880)</x:f>
      </x:c>
      <x:c r="E900" s="88" t="str">
        <x:f>IF(C900="","",ROUND(D900*$P$9/12,2))</x:f>
      </x:c>
      <x:c r="F900" s="88" t="str">
        <x:f>IF(C900="","",MIN(D900+E900,$Q$9))</x:f>
      </x:c>
      <x:c r="G900" s="88" t="str">
        <x:f>IF(C900="","",MIN(MAX(0,D900+E900-F900),SUMIFS(SONDERZAHLUNGEN!$E$9:$E$128,SONDERZAHLUNGEN!$B$9:$B$128,C900,SONDERZAHLUNGEN!$C$9:$C$128,A900,SONDERZAHLUNGEN!$H$9:$H$128,"OK",SONDERZAHLUNGEN!$F$9:$F$128,"Ja")))</x:f>
      </x:c>
      <x:c r="H900" s="88" t="str">
        <x:f>IF(C900="","",MIN(MAX(0,D900+E900-F900-G900),MAX(0,IF(MONATSBUDGET!$C$52="",0,MONATSBUDGET!$C$52)-SUM(F900:F919)-0)))</x:f>
      </x:c>
      <x:c r="I900" s="88" t="str">
        <x:f>IF(C900="","",MAX(0,ROUND(D900+E900-F900-G900-H900,2)))</x:f>
      </x:c>
      <x:c r="J900" s="88" t="str">
        <x:f>IF(C900="","",F900+G900+H900)</x:f>
      </x:c>
      <x:c r="K900" s="88" t="str">
        <x:f>IF(C900="","",MAX(0,SUMIFS(SONDERZAHLUNGEN!$E$9:$E$128,SONDERZAHLUNGEN!$B$9:$B$128,C900,SONDERZAHLUNGEN!$C$9:$C$128,A900,SONDERZAHLUNGEN!$H$9:$H$128,"OK",SONDERZAHLUNGEN!$F$9:$F$128,"Ja")-G900))</x:f>
      </x:c>
    </x:row>
    <x:row r="901" ht="19" customHeight="1">
      <x:c r="A901" s="90" t="n">
        <x:f>MONATSBUDGET!$A$52</x:f>
        <x:v>47574</x:v>
      </x:c>
      <x:c r="B901" t="n">
        <x:f>2</x:f>
        <x:v>2</x:v>
      </x:c>
      <x:c r="C901" t="str">
        <x:f>IF($N$10="","",$N$10)</x:f>
      </x:c>
      <x:c r="D901" s="88" t="str">
        <x:f>IF(C901="","",I881)</x:f>
      </x:c>
      <x:c r="E901" s="88" t="str">
        <x:f>IF(C901="","",ROUND(D901*$P$10/12,2))</x:f>
      </x:c>
      <x:c r="F901" s="88" t="str">
        <x:f>IF(C901="","",MIN(D901+E901,$Q$10))</x:f>
      </x:c>
      <x:c r="G901" s="88" t="str">
        <x:f>IF(C901="","",MIN(MAX(0,D901+E901-F901),SUMIFS(SONDERZAHLUNGEN!$E$9:$E$128,SONDERZAHLUNGEN!$B$9:$B$128,C901,SONDERZAHLUNGEN!$C$9:$C$128,A901,SONDERZAHLUNGEN!$H$9:$H$128,"OK",SONDERZAHLUNGEN!$F$9:$F$128,"Ja")))</x:f>
      </x:c>
      <x:c r="H901" s="88" t="str">
        <x:f>IF(C901="","",MIN(MAX(0,D901+E901-F901-G901),MAX(0,IF(MONATSBUDGET!$C$52="",0,MONATSBUDGET!$C$52)-SUM(F900:F919)-SUM(H900:H900))))</x:f>
      </x:c>
      <x:c r="I901" s="88" t="str">
        <x:f>IF(C901="","",MAX(0,ROUND(D901+E901-F901-G901-H901,2)))</x:f>
      </x:c>
      <x:c r="J901" s="88" t="str">
        <x:f>IF(C901="","",F901+G901+H901)</x:f>
      </x:c>
      <x:c r="K901" s="88" t="str">
        <x:f>IF(C901="","",MAX(0,SUMIFS(SONDERZAHLUNGEN!$E$9:$E$128,SONDERZAHLUNGEN!$B$9:$B$128,C901,SONDERZAHLUNGEN!$C$9:$C$128,A901,SONDERZAHLUNGEN!$H$9:$H$128,"OK",SONDERZAHLUNGEN!$F$9:$F$128,"Ja")-G901))</x:f>
      </x:c>
    </x:row>
    <x:row r="902" ht="19" customHeight="1">
      <x:c r="A902" s="90" t="n">
        <x:f>MONATSBUDGET!$A$52</x:f>
        <x:v>47574</x:v>
      </x:c>
      <x:c r="B902" t="n">
        <x:f>3</x:f>
        <x:v>3</x:v>
      </x:c>
      <x:c r="C902" t="str">
        <x:f>IF($N$11="","",$N$11)</x:f>
      </x:c>
      <x:c r="D902" s="88" t="str">
        <x:f>IF(C902="","",I882)</x:f>
      </x:c>
      <x:c r="E902" s="88" t="str">
        <x:f>IF(C902="","",ROUND(D902*$P$11/12,2))</x:f>
      </x:c>
      <x:c r="F902" s="88" t="str">
        <x:f>IF(C902="","",MIN(D902+E902,$Q$11))</x:f>
      </x:c>
      <x:c r="G902" s="88" t="str">
        <x:f>IF(C902="","",MIN(MAX(0,D902+E902-F902),SUMIFS(SONDERZAHLUNGEN!$E$9:$E$128,SONDERZAHLUNGEN!$B$9:$B$128,C902,SONDERZAHLUNGEN!$C$9:$C$128,A902,SONDERZAHLUNGEN!$H$9:$H$128,"OK",SONDERZAHLUNGEN!$F$9:$F$128,"Ja")))</x:f>
      </x:c>
      <x:c r="H902" s="88" t="str">
        <x:f>IF(C902="","",MIN(MAX(0,D902+E902-F902-G902),MAX(0,IF(MONATSBUDGET!$C$52="",0,MONATSBUDGET!$C$52)-SUM(F900:F919)-SUM(H900:H901))))</x:f>
      </x:c>
      <x:c r="I902" s="88" t="str">
        <x:f>IF(C902="","",MAX(0,ROUND(D902+E902-F902-G902-H902,2)))</x:f>
      </x:c>
      <x:c r="J902" s="88" t="str">
        <x:f>IF(C902="","",F902+G902+H902)</x:f>
      </x:c>
      <x:c r="K902" s="88" t="str">
        <x:f>IF(C902="","",MAX(0,SUMIFS(SONDERZAHLUNGEN!$E$9:$E$128,SONDERZAHLUNGEN!$B$9:$B$128,C902,SONDERZAHLUNGEN!$C$9:$C$128,A902,SONDERZAHLUNGEN!$H$9:$H$128,"OK",SONDERZAHLUNGEN!$F$9:$F$128,"Ja")-G902))</x:f>
      </x:c>
    </x:row>
    <x:row r="903" ht="19" customHeight="1">
      <x:c r="A903" s="90" t="n">
        <x:f>MONATSBUDGET!$A$52</x:f>
        <x:v>47574</x:v>
      </x:c>
      <x:c r="B903" t="n">
        <x:f>4</x:f>
        <x:v>4</x:v>
      </x:c>
      <x:c r="C903" t="str">
        <x:f>IF($N$12="","",$N$12)</x:f>
      </x:c>
      <x:c r="D903" s="88" t="str">
        <x:f>IF(C903="","",I883)</x:f>
      </x:c>
      <x:c r="E903" s="88" t="str">
        <x:f>IF(C903="","",ROUND(D903*$P$12/12,2))</x:f>
      </x:c>
      <x:c r="F903" s="88" t="str">
        <x:f>IF(C903="","",MIN(D903+E903,$Q$12))</x:f>
      </x:c>
      <x:c r="G903" s="88" t="str">
        <x:f>IF(C903="","",MIN(MAX(0,D903+E903-F903),SUMIFS(SONDERZAHLUNGEN!$E$9:$E$128,SONDERZAHLUNGEN!$B$9:$B$128,C903,SONDERZAHLUNGEN!$C$9:$C$128,A903,SONDERZAHLUNGEN!$H$9:$H$128,"OK",SONDERZAHLUNGEN!$F$9:$F$128,"Ja")))</x:f>
      </x:c>
      <x:c r="H903" s="88" t="str">
        <x:f>IF(C903="","",MIN(MAX(0,D903+E903-F903-G903),MAX(0,IF(MONATSBUDGET!$C$52="",0,MONATSBUDGET!$C$52)-SUM(F900:F919)-SUM(H900:H902))))</x:f>
      </x:c>
      <x:c r="I903" s="88" t="str">
        <x:f>IF(C903="","",MAX(0,ROUND(D903+E903-F903-G903-H903,2)))</x:f>
      </x:c>
      <x:c r="J903" s="88" t="str">
        <x:f>IF(C903="","",F903+G903+H903)</x:f>
      </x:c>
      <x:c r="K903" s="88" t="str">
        <x:f>IF(C903="","",MAX(0,SUMIFS(SONDERZAHLUNGEN!$E$9:$E$128,SONDERZAHLUNGEN!$B$9:$B$128,C903,SONDERZAHLUNGEN!$C$9:$C$128,A903,SONDERZAHLUNGEN!$H$9:$H$128,"OK",SONDERZAHLUNGEN!$F$9:$F$128,"Ja")-G903))</x:f>
      </x:c>
    </x:row>
    <x:row r="904" ht="19" customHeight="1">
      <x:c r="A904" s="90" t="n">
        <x:f>MONATSBUDGET!$A$52</x:f>
        <x:v>47574</x:v>
      </x:c>
      <x:c r="B904" t="n">
        <x:f>5</x:f>
        <x:v>5</x:v>
      </x:c>
      <x:c r="C904" t="str">
        <x:f>IF($N$13="","",$N$13)</x:f>
      </x:c>
      <x:c r="D904" s="88" t="str">
        <x:f>IF(C904="","",I884)</x:f>
      </x:c>
      <x:c r="E904" s="88" t="str">
        <x:f>IF(C904="","",ROUND(D904*$P$13/12,2))</x:f>
      </x:c>
      <x:c r="F904" s="88" t="str">
        <x:f>IF(C904="","",MIN(D904+E904,$Q$13))</x:f>
      </x:c>
      <x:c r="G904" s="88" t="str">
        <x:f>IF(C904="","",MIN(MAX(0,D904+E904-F904),SUMIFS(SONDERZAHLUNGEN!$E$9:$E$128,SONDERZAHLUNGEN!$B$9:$B$128,C904,SONDERZAHLUNGEN!$C$9:$C$128,A904,SONDERZAHLUNGEN!$H$9:$H$128,"OK",SONDERZAHLUNGEN!$F$9:$F$128,"Ja")))</x:f>
      </x:c>
      <x:c r="H904" s="88" t="str">
        <x:f>IF(C904="","",MIN(MAX(0,D904+E904-F904-G904),MAX(0,IF(MONATSBUDGET!$C$52="",0,MONATSBUDGET!$C$52)-SUM(F900:F919)-SUM(H900:H903))))</x:f>
      </x:c>
      <x:c r="I904" s="88" t="str">
        <x:f>IF(C904="","",MAX(0,ROUND(D904+E904-F904-G904-H904,2)))</x:f>
      </x:c>
      <x:c r="J904" s="88" t="str">
        <x:f>IF(C904="","",F904+G904+H904)</x:f>
      </x:c>
      <x:c r="K904" s="88" t="str">
        <x:f>IF(C904="","",MAX(0,SUMIFS(SONDERZAHLUNGEN!$E$9:$E$128,SONDERZAHLUNGEN!$B$9:$B$128,C904,SONDERZAHLUNGEN!$C$9:$C$128,A904,SONDERZAHLUNGEN!$H$9:$H$128,"OK",SONDERZAHLUNGEN!$F$9:$F$128,"Ja")-G904))</x:f>
      </x:c>
    </x:row>
    <x:row r="905" ht="19" customHeight="1">
      <x:c r="A905" s="90" t="n">
        <x:f>MONATSBUDGET!$A$52</x:f>
        <x:v>47574</x:v>
      </x:c>
      <x:c r="B905" t="n">
        <x:f>6</x:f>
        <x:v>6</x:v>
      </x:c>
      <x:c r="C905" t="str">
        <x:f>IF($N$14="","",$N$14)</x:f>
      </x:c>
      <x:c r="D905" s="88" t="str">
        <x:f>IF(C905="","",I885)</x:f>
      </x:c>
      <x:c r="E905" s="88" t="str">
        <x:f>IF(C905="","",ROUND(D905*$P$14/12,2))</x:f>
      </x:c>
      <x:c r="F905" s="88" t="str">
        <x:f>IF(C905="","",MIN(D905+E905,$Q$14))</x:f>
      </x:c>
      <x:c r="G905" s="88" t="str">
        <x:f>IF(C905="","",MIN(MAX(0,D905+E905-F905),SUMIFS(SONDERZAHLUNGEN!$E$9:$E$128,SONDERZAHLUNGEN!$B$9:$B$128,C905,SONDERZAHLUNGEN!$C$9:$C$128,A905,SONDERZAHLUNGEN!$H$9:$H$128,"OK",SONDERZAHLUNGEN!$F$9:$F$128,"Ja")))</x:f>
      </x:c>
      <x:c r="H905" s="88" t="str">
        <x:f>IF(C905="","",MIN(MAX(0,D905+E905-F905-G905),MAX(0,IF(MONATSBUDGET!$C$52="",0,MONATSBUDGET!$C$52)-SUM(F900:F919)-SUM(H900:H904))))</x:f>
      </x:c>
      <x:c r="I905" s="88" t="str">
        <x:f>IF(C905="","",MAX(0,ROUND(D905+E905-F905-G905-H905,2)))</x:f>
      </x:c>
      <x:c r="J905" s="88" t="str">
        <x:f>IF(C905="","",F905+G905+H905)</x:f>
      </x:c>
      <x:c r="K905" s="88" t="str">
        <x:f>IF(C905="","",MAX(0,SUMIFS(SONDERZAHLUNGEN!$E$9:$E$128,SONDERZAHLUNGEN!$B$9:$B$128,C905,SONDERZAHLUNGEN!$C$9:$C$128,A905,SONDERZAHLUNGEN!$H$9:$H$128,"OK",SONDERZAHLUNGEN!$F$9:$F$128,"Ja")-G905))</x:f>
      </x:c>
    </x:row>
    <x:row r="906" ht="19" customHeight="1">
      <x:c r="A906" s="90" t="n">
        <x:f>MONATSBUDGET!$A$52</x:f>
        <x:v>47574</x:v>
      </x:c>
      <x:c r="B906" t="n">
        <x:f>7</x:f>
        <x:v>7</x:v>
      </x:c>
      <x:c r="C906" t="str">
        <x:f>IF($N$15="","",$N$15)</x:f>
      </x:c>
      <x:c r="D906" s="88" t="str">
        <x:f>IF(C906="","",I886)</x:f>
      </x:c>
      <x:c r="E906" s="88" t="str">
        <x:f>IF(C906="","",ROUND(D906*$P$15/12,2))</x:f>
      </x:c>
      <x:c r="F906" s="88" t="str">
        <x:f>IF(C906="","",MIN(D906+E906,$Q$15))</x:f>
      </x:c>
      <x:c r="G906" s="88" t="str">
        <x:f>IF(C906="","",MIN(MAX(0,D906+E906-F906),SUMIFS(SONDERZAHLUNGEN!$E$9:$E$128,SONDERZAHLUNGEN!$B$9:$B$128,C906,SONDERZAHLUNGEN!$C$9:$C$128,A906,SONDERZAHLUNGEN!$H$9:$H$128,"OK",SONDERZAHLUNGEN!$F$9:$F$128,"Ja")))</x:f>
      </x:c>
      <x:c r="H906" s="88" t="str">
        <x:f>IF(C906="","",MIN(MAX(0,D906+E906-F906-G906),MAX(0,IF(MONATSBUDGET!$C$52="",0,MONATSBUDGET!$C$52)-SUM(F900:F919)-SUM(H900:H905))))</x:f>
      </x:c>
      <x:c r="I906" s="88" t="str">
        <x:f>IF(C906="","",MAX(0,ROUND(D906+E906-F906-G906-H906,2)))</x:f>
      </x:c>
      <x:c r="J906" s="88" t="str">
        <x:f>IF(C906="","",F906+G906+H906)</x:f>
      </x:c>
      <x:c r="K906" s="88" t="str">
        <x:f>IF(C906="","",MAX(0,SUMIFS(SONDERZAHLUNGEN!$E$9:$E$128,SONDERZAHLUNGEN!$B$9:$B$128,C906,SONDERZAHLUNGEN!$C$9:$C$128,A906,SONDERZAHLUNGEN!$H$9:$H$128,"OK",SONDERZAHLUNGEN!$F$9:$F$128,"Ja")-G906))</x:f>
      </x:c>
    </x:row>
    <x:row r="907" ht="19" customHeight="1">
      <x:c r="A907" s="90" t="n">
        <x:f>MONATSBUDGET!$A$52</x:f>
        <x:v>47574</x:v>
      </x:c>
      <x:c r="B907" t="n">
        <x:f>8</x:f>
        <x:v>8</x:v>
      </x:c>
      <x:c r="C907" t="str">
        <x:f>IF($N$16="","",$N$16)</x:f>
      </x:c>
      <x:c r="D907" s="88" t="str">
        <x:f>IF(C907="","",I887)</x:f>
      </x:c>
      <x:c r="E907" s="88" t="str">
        <x:f>IF(C907="","",ROUND(D907*$P$16/12,2))</x:f>
      </x:c>
      <x:c r="F907" s="88" t="str">
        <x:f>IF(C907="","",MIN(D907+E907,$Q$16))</x:f>
      </x:c>
      <x:c r="G907" s="88" t="str">
        <x:f>IF(C907="","",MIN(MAX(0,D907+E907-F907),SUMIFS(SONDERZAHLUNGEN!$E$9:$E$128,SONDERZAHLUNGEN!$B$9:$B$128,C907,SONDERZAHLUNGEN!$C$9:$C$128,A907,SONDERZAHLUNGEN!$H$9:$H$128,"OK",SONDERZAHLUNGEN!$F$9:$F$128,"Ja")))</x:f>
      </x:c>
      <x:c r="H907" s="88" t="str">
        <x:f>IF(C907="","",MIN(MAX(0,D907+E907-F907-G907),MAX(0,IF(MONATSBUDGET!$C$52="",0,MONATSBUDGET!$C$52)-SUM(F900:F919)-SUM(H900:H906))))</x:f>
      </x:c>
      <x:c r="I907" s="88" t="str">
        <x:f>IF(C907="","",MAX(0,ROUND(D907+E907-F907-G907-H907,2)))</x:f>
      </x:c>
      <x:c r="J907" s="88" t="str">
        <x:f>IF(C907="","",F907+G907+H907)</x:f>
      </x:c>
      <x:c r="K907" s="88" t="str">
        <x:f>IF(C907="","",MAX(0,SUMIFS(SONDERZAHLUNGEN!$E$9:$E$128,SONDERZAHLUNGEN!$B$9:$B$128,C907,SONDERZAHLUNGEN!$C$9:$C$128,A907,SONDERZAHLUNGEN!$H$9:$H$128,"OK",SONDERZAHLUNGEN!$F$9:$F$128,"Ja")-G907))</x:f>
      </x:c>
    </x:row>
    <x:row r="908" ht="19" customHeight="1">
      <x:c r="A908" s="90" t="n">
        <x:f>MONATSBUDGET!$A$52</x:f>
        <x:v>47574</x:v>
      </x:c>
      <x:c r="B908" t="n">
        <x:f>9</x:f>
        <x:v>9</x:v>
      </x:c>
      <x:c r="C908" t="str">
        <x:f>IF($N$17="","",$N$17)</x:f>
      </x:c>
      <x:c r="D908" s="88" t="str">
        <x:f>IF(C908="","",I888)</x:f>
      </x:c>
      <x:c r="E908" s="88" t="str">
        <x:f>IF(C908="","",ROUND(D908*$P$17/12,2))</x:f>
      </x:c>
      <x:c r="F908" s="88" t="str">
        <x:f>IF(C908="","",MIN(D908+E908,$Q$17))</x:f>
      </x:c>
      <x:c r="G908" s="88" t="str">
        <x:f>IF(C908="","",MIN(MAX(0,D908+E908-F908),SUMIFS(SONDERZAHLUNGEN!$E$9:$E$128,SONDERZAHLUNGEN!$B$9:$B$128,C908,SONDERZAHLUNGEN!$C$9:$C$128,A908,SONDERZAHLUNGEN!$H$9:$H$128,"OK",SONDERZAHLUNGEN!$F$9:$F$128,"Ja")))</x:f>
      </x:c>
      <x:c r="H908" s="88" t="str">
        <x:f>IF(C908="","",MIN(MAX(0,D908+E908-F908-G908),MAX(0,IF(MONATSBUDGET!$C$52="",0,MONATSBUDGET!$C$52)-SUM(F900:F919)-SUM(H900:H907))))</x:f>
      </x:c>
      <x:c r="I908" s="88" t="str">
        <x:f>IF(C908="","",MAX(0,ROUND(D908+E908-F908-G908-H908,2)))</x:f>
      </x:c>
      <x:c r="J908" s="88" t="str">
        <x:f>IF(C908="","",F908+G908+H908)</x:f>
      </x:c>
      <x:c r="K908" s="88" t="str">
        <x:f>IF(C908="","",MAX(0,SUMIFS(SONDERZAHLUNGEN!$E$9:$E$128,SONDERZAHLUNGEN!$B$9:$B$128,C908,SONDERZAHLUNGEN!$C$9:$C$128,A908,SONDERZAHLUNGEN!$H$9:$H$128,"OK",SONDERZAHLUNGEN!$F$9:$F$128,"Ja")-G908))</x:f>
      </x:c>
    </x:row>
    <x:row r="909" ht="19" customHeight="1">
      <x:c r="A909" s="90" t="n">
        <x:f>MONATSBUDGET!$A$52</x:f>
        <x:v>47574</x:v>
      </x:c>
      <x:c r="B909" t="n">
        <x:f>10</x:f>
        <x:v>10</x:v>
      </x:c>
      <x:c r="C909" t="str">
        <x:f>IF($N$18="","",$N$18)</x:f>
      </x:c>
      <x:c r="D909" s="88" t="str">
        <x:f>IF(C909="","",I889)</x:f>
      </x:c>
      <x:c r="E909" s="88" t="str">
        <x:f>IF(C909="","",ROUND(D909*$P$18/12,2))</x:f>
      </x:c>
      <x:c r="F909" s="88" t="str">
        <x:f>IF(C909="","",MIN(D909+E909,$Q$18))</x:f>
      </x:c>
      <x:c r="G909" s="88" t="str">
        <x:f>IF(C909="","",MIN(MAX(0,D909+E909-F909),SUMIFS(SONDERZAHLUNGEN!$E$9:$E$128,SONDERZAHLUNGEN!$B$9:$B$128,C909,SONDERZAHLUNGEN!$C$9:$C$128,A909,SONDERZAHLUNGEN!$H$9:$H$128,"OK",SONDERZAHLUNGEN!$F$9:$F$128,"Ja")))</x:f>
      </x:c>
      <x:c r="H909" s="88" t="str">
        <x:f>IF(C909="","",MIN(MAX(0,D909+E909-F909-G909),MAX(0,IF(MONATSBUDGET!$C$52="",0,MONATSBUDGET!$C$52)-SUM(F900:F919)-SUM(H900:H908))))</x:f>
      </x:c>
      <x:c r="I909" s="88" t="str">
        <x:f>IF(C909="","",MAX(0,ROUND(D909+E909-F909-G909-H909,2)))</x:f>
      </x:c>
      <x:c r="J909" s="88" t="str">
        <x:f>IF(C909="","",F909+G909+H909)</x:f>
      </x:c>
      <x:c r="K909" s="88" t="str">
        <x:f>IF(C909="","",MAX(0,SUMIFS(SONDERZAHLUNGEN!$E$9:$E$128,SONDERZAHLUNGEN!$B$9:$B$128,C909,SONDERZAHLUNGEN!$C$9:$C$128,A909,SONDERZAHLUNGEN!$H$9:$H$128,"OK",SONDERZAHLUNGEN!$F$9:$F$128,"Ja")-G909))</x:f>
      </x:c>
    </x:row>
    <x:row r="910" ht="19" customHeight="1">
      <x:c r="A910" s="90" t="n">
        <x:f>MONATSBUDGET!$A$52</x:f>
        <x:v>47574</x:v>
      </x:c>
      <x:c r="B910" t="n">
        <x:f>11</x:f>
        <x:v>11</x:v>
      </x:c>
      <x:c r="C910" t="str">
        <x:f>IF($N$19="","",$N$19)</x:f>
      </x:c>
      <x:c r="D910" s="88" t="str">
        <x:f>IF(C910="","",I890)</x:f>
      </x:c>
      <x:c r="E910" s="88" t="str">
        <x:f>IF(C910="","",ROUND(D910*$P$19/12,2))</x:f>
      </x:c>
      <x:c r="F910" s="88" t="str">
        <x:f>IF(C910="","",MIN(D910+E910,$Q$19))</x:f>
      </x:c>
      <x:c r="G910" s="88" t="str">
        <x:f>IF(C910="","",MIN(MAX(0,D910+E910-F910),SUMIFS(SONDERZAHLUNGEN!$E$9:$E$128,SONDERZAHLUNGEN!$B$9:$B$128,C910,SONDERZAHLUNGEN!$C$9:$C$128,A910,SONDERZAHLUNGEN!$H$9:$H$128,"OK",SONDERZAHLUNGEN!$F$9:$F$128,"Ja")))</x:f>
      </x:c>
      <x:c r="H910" s="88" t="str">
        <x:f>IF(C910="","",MIN(MAX(0,D910+E910-F910-G910),MAX(0,IF(MONATSBUDGET!$C$52="",0,MONATSBUDGET!$C$52)-SUM(F900:F919)-SUM(H900:H909))))</x:f>
      </x:c>
      <x:c r="I910" s="88" t="str">
        <x:f>IF(C910="","",MAX(0,ROUND(D910+E910-F910-G910-H910,2)))</x:f>
      </x:c>
      <x:c r="J910" s="88" t="str">
        <x:f>IF(C910="","",F910+G910+H910)</x:f>
      </x:c>
      <x:c r="K910" s="88" t="str">
        <x:f>IF(C910="","",MAX(0,SUMIFS(SONDERZAHLUNGEN!$E$9:$E$128,SONDERZAHLUNGEN!$B$9:$B$128,C910,SONDERZAHLUNGEN!$C$9:$C$128,A910,SONDERZAHLUNGEN!$H$9:$H$128,"OK",SONDERZAHLUNGEN!$F$9:$F$128,"Ja")-G910))</x:f>
      </x:c>
    </x:row>
    <x:row r="911" ht="19" customHeight="1">
      <x:c r="A911" s="90" t="n">
        <x:f>MONATSBUDGET!$A$52</x:f>
        <x:v>47574</x:v>
      </x:c>
      <x:c r="B911" t="n">
        <x:f>12</x:f>
        <x:v>12</x:v>
      </x:c>
      <x:c r="C911" t="str">
        <x:f>IF($N$20="","",$N$20)</x:f>
      </x:c>
      <x:c r="D911" s="88" t="str">
        <x:f>IF(C911="","",I891)</x:f>
      </x:c>
      <x:c r="E911" s="88" t="str">
        <x:f>IF(C911="","",ROUND(D911*$P$20/12,2))</x:f>
      </x:c>
      <x:c r="F911" s="88" t="str">
        <x:f>IF(C911="","",MIN(D911+E911,$Q$20))</x:f>
      </x:c>
      <x:c r="G911" s="88" t="str">
        <x:f>IF(C911="","",MIN(MAX(0,D911+E911-F911),SUMIFS(SONDERZAHLUNGEN!$E$9:$E$128,SONDERZAHLUNGEN!$B$9:$B$128,C911,SONDERZAHLUNGEN!$C$9:$C$128,A911,SONDERZAHLUNGEN!$H$9:$H$128,"OK",SONDERZAHLUNGEN!$F$9:$F$128,"Ja")))</x:f>
      </x:c>
      <x:c r="H911" s="88" t="str">
        <x:f>IF(C911="","",MIN(MAX(0,D911+E911-F911-G911),MAX(0,IF(MONATSBUDGET!$C$52="",0,MONATSBUDGET!$C$52)-SUM(F900:F919)-SUM(H900:H910))))</x:f>
      </x:c>
      <x:c r="I911" s="88" t="str">
        <x:f>IF(C911="","",MAX(0,ROUND(D911+E911-F911-G911-H911,2)))</x:f>
      </x:c>
      <x:c r="J911" s="88" t="str">
        <x:f>IF(C911="","",F911+G911+H911)</x:f>
      </x:c>
      <x:c r="K911" s="88" t="str">
        <x:f>IF(C911="","",MAX(0,SUMIFS(SONDERZAHLUNGEN!$E$9:$E$128,SONDERZAHLUNGEN!$B$9:$B$128,C911,SONDERZAHLUNGEN!$C$9:$C$128,A911,SONDERZAHLUNGEN!$H$9:$H$128,"OK",SONDERZAHLUNGEN!$F$9:$F$128,"Ja")-G911))</x:f>
      </x:c>
    </x:row>
    <x:row r="912" ht="19" customHeight="1">
      <x:c r="A912" s="90" t="n">
        <x:f>MONATSBUDGET!$A$52</x:f>
        <x:v>47574</x:v>
      </x:c>
      <x:c r="B912" t="n">
        <x:f>13</x:f>
        <x:v>13</x:v>
      </x:c>
      <x:c r="C912" t="str">
        <x:f>IF($N$21="","",$N$21)</x:f>
      </x:c>
      <x:c r="D912" s="88" t="str">
        <x:f>IF(C912="","",I892)</x:f>
      </x:c>
      <x:c r="E912" s="88" t="str">
        <x:f>IF(C912="","",ROUND(D912*$P$21/12,2))</x:f>
      </x:c>
      <x:c r="F912" s="88" t="str">
        <x:f>IF(C912="","",MIN(D912+E912,$Q$21))</x:f>
      </x:c>
      <x:c r="G912" s="88" t="str">
        <x:f>IF(C912="","",MIN(MAX(0,D912+E912-F912),SUMIFS(SONDERZAHLUNGEN!$E$9:$E$128,SONDERZAHLUNGEN!$B$9:$B$128,C912,SONDERZAHLUNGEN!$C$9:$C$128,A912,SONDERZAHLUNGEN!$H$9:$H$128,"OK",SONDERZAHLUNGEN!$F$9:$F$128,"Ja")))</x:f>
      </x:c>
      <x:c r="H912" s="88" t="str">
        <x:f>IF(C912="","",MIN(MAX(0,D912+E912-F912-G912),MAX(0,IF(MONATSBUDGET!$C$52="",0,MONATSBUDGET!$C$52)-SUM(F900:F919)-SUM(H900:H911))))</x:f>
      </x:c>
      <x:c r="I912" s="88" t="str">
        <x:f>IF(C912="","",MAX(0,ROUND(D912+E912-F912-G912-H912,2)))</x:f>
      </x:c>
      <x:c r="J912" s="88" t="str">
        <x:f>IF(C912="","",F912+G912+H912)</x:f>
      </x:c>
      <x:c r="K912" s="88" t="str">
        <x:f>IF(C912="","",MAX(0,SUMIFS(SONDERZAHLUNGEN!$E$9:$E$128,SONDERZAHLUNGEN!$B$9:$B$128,C912,SONDERZAHLUNGEN!$C$9:$C$128,A912,SONDERZAHLUNGEN!$H$9:$H$128,"OK",SONDERZAHLUNGEN!$F$9:$F$128,"Ja")-G912))</x:f>
      </x:c>
    </x:row>
    <x:row r="913" ht="19" customHeight="1">
      <x:c r="A913" s="90" t="n">
        <x:f>MONATSBUDGET!$A$52</x:f>
        <x:v>47574</x:v>
      </x:c>
      <x:c r="B913" t="n">
        <x:f>14</x:f>
        <x:v>14</x:v>
      </x:c>
      <x:c r="C913" t="str">
        <x:f>IF($N$22="","",$N$22)</x:f>
      </x:c>
      <x:c r="D913" s="88" t="str">
        <x:f>IF(C913="","",I893)</x:f>
      </x:c>
      <x:c r="E913" s="88" t="str">
        <x:f>IF(C913="","",ROUND(D913*$P$22/12,2))</x:f>
      </x:c>
      <x:c r="F913" s="88" t="str">
        <x:f>IF(C913="","",MIN(D913+E913,$Q$22))</x:f>
      </x:c>
      <x:c r="G913" s="88" t="str">
        <x:f>IF(C913="","",MIN(MAX(0,D913+E913-F913),SUMIFS(SONDERZAHLUNGEN!$E$9:$E$128,SONDERZAHLUNGEN!$B$9:$B$128,C913,SONDERZAHLUNGEN!$C$9:$C$128,A913,SONDERZAHLUNGEN!$H$9:$H$128,"OK",SONDERZAHLUNGEN!$F$9:$F$128,"Ja")))</x:f>
      </x:c>
      <x:c r="H913" s="88" t="str">
        <x:f>IF(C913="","",MIN(MAX(0,D913+E913-F913-G913),MAX(0,IF(MONATSBUDGET!$C$52="",0,MONATSBUDGET!$C$52)-SUM(F900:F919)-SUM(H900:H912))))</x:f>
      </x:c>
      <x:c r="I913" s="88" t="str">
        <x:f>IF(C913="","",MAX(0,ROUND(D913+E913-F913-G913-H913,2)))</x:f>
      </x:c>
      <x:c r="J913" s="88" t="str">
        <x:f>IF(C913="","",F913+G913+H913)</x:f>
      </x:c>
      <x:c r="K913" s="88" t="str">
        <x:f>IF(C913="","",MAX(0,SUMIFS(SONDERZAHLUNGEN!$E$9:$E$128,SONDERZAHLUNGEN!$B$9:$B$128,C913,SONDERZAHLUNGEN!$C$9:$C$128,A913,SONDERZAHLUNGEN!$H$9:$H$128,"OK",SONDERZAHLUNGEN!$F$9:$F$128,"Ja")-G913))</x:f>
      </x:c>
    </x:row>
    <x:row r="914" ht="19" customHeight="1">
      <x:c r="A914" s="90" t="n">
        <x:f>MONATSBUDGET!$A$52</x:f>
        <x:v>47574</x:v>
      </x:c>
      <x:c r="B914" t="n">
        <x:f>15</x:f>
        <x:v>15</x:v>
      </x:c>
      <x:c r="C914" t="str">
        <x:f>IF($N$23="","",$N$23)</x:f>
      </x:c>
      <x:c r="D914" s="88" t="str">
        <x:f>IF(C914="","",I894)</x:f>
      </x:c>
      <x:c r="E914" s="88" t="str">
        <x:f>IF(C914="","",ROUND(D914*$P$23/12,2))</x:f>
      </x:c>
      <x:c r="F914" s="88" t="str">
        <x:f>IF(C914="","",MIN(D914+E914,$Q$23))</x:f>
      </x:c>
      <x:c r="G914" s="88" t="str">
        <x:f>IF(C914="","",MIN(MAX(0,D914+E914-F914),SUMIFS(SONDERZAHLUNGEN!$E$9:$E$128,SONDERZAHLUNGEN!$B$9:$B$128,C914,SONDERZAHLUNGEN!$C$9:$C$128,A914,SONDERZAHLUNGEN!$H$9:$H$128,"OK",SONDERZAHLUNGEN!$F$9:$F$128,"Ja")))</x:f>
      </x:c>
      <x:c r="H914" s="88" t="str">
        <x:f>IF(C914="","",MIN(MAX(0,D914+E914-F914-G914),MAX(0,IF(MONATSBUDGET!$C$52="",0,MONATSBUDGET!$C$52)-SUM(F900:F919)-SUM(H900:H913))))</x:f>
      </x:c>
      <x:c r="I914" s="88" t="str">
        <x:f>IF(C914="","",MAX(0,ROUND(D914+E914-F914-G914-H914,2)))</x:f>
      </x:c>
      <x:c r="J914" s="88" t="str">
        <x:f>IF(C914="","",F914+G914+H914)</x:f>
      </x:c>
      <x:c r="K914" s="88" t="str">
        <x:f>IF(C914="","",MAX(0,SUMIFS(SONDERZAHLUNGEN!$E$9:$E$128,SONDERZAHLUNGEN!$B$9:$B$128,C914,SONDERZAHLUNGEN!$C$9:$C$128,A914,SONDERZAHLUNGEN!$H$9:$H$128,"OK",SONDERZAHLUNGEN!$F$9:$F$128,"Ja")-G914))</x:f>
      </x:c>
    </x:row>
    <x:row r="915" ht="19" customHeight="1">
      <x:c r="A915" s="90" t="n">
        <x:f>MONATSBUDGET!$A$52</x:f>
        <x:v>47574</x:v>
      </x:c>
      <x:c r="B915" t="n">
        <x:f>16</x:f>
        <x:v>16</x:v>
      </x:c>
      <x:c r="C915" t="str">
        <x:f>IF($N$24="","",$N$24)</x:f>
      </x:c>
      <x:c r="D915" s="88" t="str">
        <x:f>IF(C915="","",I895)</x:f>
      </x:c>
      <x:c r="E915" s="88" t="str">
        <x:f>IF(C915="","",ROUND(D915*$P$24/12,2))</x:f>
      </x:c>
      <x:c r="F915" s="88" t="str">
        <x:f>IF(C915="","",MIN(D915+E915,$Q$24))</x:f>
      </x:c>
      <x:c r="G915" s="88" t="str">
        <x:f>IF(C915="","",MIN(MAX(0,D915+E915-F915),SUMIFS(SONDERZAHLUNGEN!$E$9:$E$128,SONDERZAHLUNGEN!$B$9:$B$128,C915,SONDERZAHLUNGEN!$C$9:$C$128,A915,SONDERZAHLUNGEN!$H$9:$H$128,"OK",SONDERZAHLUNGEN!$F$9:$F$128,"Ja")))</x:f>
      </x:c>
      <x:c r="H915" s="88" t="str">
        <x:f>IF(C915="","",MIN(MAX(0,D915+E915-F915-G915),MAX(0,IF(MONATSBUDGET!$C$52="",0,MONATSBUDGET!$C$52)-SUM(F900:F919)-SUM(H900:H914))))</x:f>
      </x:c>
      <x:c r="I915" s="88" t="str">
        <x:f>IF(C915="","",MAX(0,ROUND(D915+E915-F915-G915-H915,2)))</x:f>
      </x:c>
      <x:c r="J915" s="88" t="str">
        <x:f>IF(C915="","",F915+G915+H915)</x:f>
      </x:c>
      <x:c r="K915" s="88" t="str">
        <x:f>IF(C915="","",MAX(0,SUMIFS(SONDERZAHLUNGEN!$E$9:$E$128,SONDERZAHLUNGEN!$B$9:$B$128,C915,SONDERZAHLUNGEN!$C$9:$C$128,A915,SONDERZAHLUNGEN!$H$9:$H$128,"OK",SONDERZAHLUNGEN!$F$9:$F$128,"Ja")-G915))</x:f>
      </x:c>
    </x:row>
    <x:row r="916" ht="19" customHeight="1">
      <x:c r="A916" s="90" t="n">
        <x:f>MONATSBUDGET!$A$52</x:f>
        <x:v>47574</x:v>
      </x:c>
      <x:c r="B916" t="n">
        <x:f>17</x:f>
        <x:v>17</x:v>
      </x:c>
      <x:c r="C916" t="str">
        <x:f>IF($N$25="","",$N$25)</x:f>
      </x:c>
      <x:c r="D916" s="88" t="str">
        <x:f>IF(C916="","",I896)</x:f>
      </x:c>
      <x:c r="E916" s="88" t="str">
        <x:f>IF(C916="","",ROUND(D916*$P$25/12,2))</x:f>
      </x:c>
      <x:c r="F916" s="88" t="str">
        <x:f>IF(C916="","",MIN(D916+E916,$Q$25))</x:f>
      </x:c>
      <x:c r="G916" s="88" t="str">
        <x:f>IF(C916="","",MIN(MAX(0,D916+E916-F916),SUMIFS(SONDERZAHLUNGEN!$E$9:$E$128,SONDERZAHLUNGEN!$B$9:$B$128,C916,SONDERZAHLUNGEN!$C$9:$C$128,A916,SONDERZAHLUNGEN!$H$9:$H$128,"OK",SONDERZAHLUNGEN!$F$9:$F$128,"Ja")))</x:f>
      </x:c>
      <x:c r="H916" s="88" t="str">
        <x:f>IF(C916="","",MIN(MAX(0,D916+E916-F916-G916),MAX(0,IF(MONATSBUDGET!$C$52="",0,MONATSBUDGET!$C$52)-SUM(F900:F919)-SUM(H900:H915))))</x:f>
      </x:c>
      <x:c r="I916" s="88" t="str">
        <x:f>IF(C916="","",MAX(0,ROUND(D916+E916-F916-G916-H916,2)))</x:f>
      </x:c>
      <x:c r="J916" s="88" t="str">
        <x:f>IF(C916="","",F916+G916+H916)</x:f>
      </x:c>
      <x:c r="K916" s="88" t="str">
        <x:f>IF(C916="","",MAX(0,SUMIFS(SONDERZAHLUNGEN!$E$9:$E$128,SONDERZAHLUNGEN!$B$9:$B$128,C916,SONDERZAHLUNGEN!$C$9:$C$128,A916,SONDERZAHLUNGEN!$H$9:$H$128,"OK",SONDERZAHLUNGEN!$F$9:$F$128,"Ja")-G916))</x:f>
      </x:c>
    </x:row>
    <x:row r="917" ht="19" customHeight="1">
      <x:c r="A917" s="90" t="n">
        <x:f>MONATSBUDGET!$A$52</x:f>
        <x:v>47574</x:v>
      </x:c>
      <x:c r="B917" t="n">
        <x:f>18</x:f>
        <x:v>18</x:v>
      </x:c>
      <x:c r="C917" t="str">
        <x:f>IF($N$26="","",$N$26)</x:f>
      </x:c>
      <x:c r="D917" s="88" t="str">
        <x:f>IF(C917="","",I897)</x:f>
      </x:c>
      <x:c r="E917" s="88" t="str">
        <x:f>IF(C917="","",ROUND(D917*$P$26/12,2))</x:f>
      </x:c>
      <x:c r="F917" s="88" t="str">
        <x:f>IF(C917="","",MIN(D917+E917,$Q$26))</x:f>
      </x:c>
      <x:c r="G917" s="88" t="str">
        <x:f>IF(C917="","",MIN(MAX(0,D917+E917-F917),SUMIFS(SONDERZAHLUNGEN!$E$9:$E$128,SONDERZAHLUNGEN!$B$9:$B$128,C917,SONDERZAHLUNGEN!$C$9:$C$128,A917,SONDERZAHLUNGEN!$H$9:$H$128,"OK",SONDERZAHLUNGEN!$F$9:$F$128,"Ja")))</x:f>
      </x:c>
      <x:c r="H917" s="88" t="str">
        <x:f>IF(C917="","",MIN(MAX(0,D917+E917-F917-G917),MAX(0,IF(MONATSBUDGET!$C$52="",0,MONATSBUDGET!$C$52)-SUM(F900:F919)-SUM(H900:H916))))</x:f>
      </x:c>
      <x:c r="I917" s="88" t="str">
        <x:f>IF(C917="","",MAX(0,ROUND(D917+E917-F917-G917-H917,2)))</x:f>
      </x:c>
      <x:c r="J917" s="88" t="str">
        <x:f>IF(C917="","",F917+G917+H917)</x:f>
      </x:c>
      <x:c r="K917" s="88" t="str">
        <x:f>IF(C917="","",MAX(0,SUMIFS(SONDERZAHLUNGEN!$E$9:$E$128,SONDERZAHLUNGEN!$B$9:$B$128,C917,SONDERZAHLUNGEN!$C$9:$C$128,A917,SONDERZAHLUNGEN!$H$9:$H$128,"OK",SONDERZAHLUNGEN!$F$9:$F$128,"Ja")-G917))</x:f>
      </x:c>
    </x:row>
    <x:row r="918" ht="19" customHeight="1">
      <x:c r="A918" s="90" t="n">
        <x:f>MONATSBUDGET!$A$52</x:f>
        <x:v>47574</x:v>
      </x:c>
      <x:c r="B918" t="n">
        <x:f>19</x:f>
        <x:v>19</x:v>
      </x:c>
      <x:c r="C918" t="str">
        <x:f>IF($N$27="","",$N$27)</x:f>
      </x:c>
      <x:c r="D918" s="88" t="str">
        <x:f>IF(C918="","",I898)</x:f>
      </x:c>
      <x:c r="E918" s="88" t="str">
        <x:f>IF(C918="","",ROUND(D918*$P$27/12,2))</x:f>
      </x:c>
      <x:c r="F918" s="88" t="str">
        <x:f>IF(C918="","",MIN(D918+E918,$Q$27))</x:f>
      </x:c>
      <x:c r="G918" s="88" t="str">
        <x:f>IF(C918="","",MIN(MAX(0,D918+E918-F918),SUMIFS(SONDERZAHLUNGEN!$E$9:$E$128,SONDERZAHLUNGEN!$B$9:$B$128,C918,SONDERZAHLUNGEN!$C$9:$C$128,A918,SONDERZAHLUNGEN!$H$9:$H$128,"OK",SONDERZAHLUNGEN!$F$9:$F$128,"Ja")))</x:f>
      </x:c>
      <x:c r="H918" s="88" t="str">
        <x:f>IF(C918="","",MIN(MAX(0,D918+E918-F918-G918),MAX(0,IF(MONATSBUDGET!$C$52="",0,MONATSBUDGET!$C$52)-SUM(F900:F919)-SUM(H900:H917))))</x:f>
      </x:c>
      <x:c r="I918" s="88" t="str">
        <x:f>IF(C918="","",MAX(0,ROUND(D918+E918-F918-G918-H918,2)))</x:f>
      </x:c>
      <x:c r="J918" s="88" t="str">
        <x:f>IF(C918="","",F918+G918+H918)</x:f>
      </x:c>
      <x:c r="K918" s="88" t="str">
        <x:f>IF(C918="","",MAX(0,SUMIFS(SONDERZAHLUNGEN!$E$9:$E$128,SONDERZAHLUNGEN!$B$9:$B$128,C918,SONDERZAHLUNGEN!$C$9:$C$128,A918,SONDERZAHLUNGEN!$H$9:$H$128,"OK",SONDERZAHLUNGEN!$F$9:$F$128,"Ja")-G918))</x:f>
      </x:c>
    </x:row>
    <x:row r="919" ht="19" customHeight="1">
      <x:c r="A919" s="90" t="n">
        <x:f>MONATSBUDGET!$A$52</x:f>
        <x:v>47574</x:v>
      </x:c>
      <x:c r="B919" t="n">
        <x:f>20</x:f>
        <x:v>20</x:v>
      </x:c>
      <x:c r="C919" t="str">
        <x:f>IF($N$28="","",$N$28)</x:f>
      </x:c>
      <x:c r="D919" s="88" t="str">
        <x:f>IF(C919="","",I899)</x:f>
      </x:c>
      <x:c r="E919" s="88" t="str">
        <x:f>IF(C919="","",ROUND(D919*$P$28/12,2))</x:f>
      </x:c>
      <x:c r="F919" s="88" t="str">
        <x:f>IF(C919="","",MIN(D919+E919,$Q$28))</x:f>
      </x:c>
      <x:c r="G919" s="88" t="str">
        <x:f>IF(C919="","",MIN(MAX(0,D919+E919-F919),SUMIFS(SONDERZAHLUNGEN!$E$9:$E$128,SONDERZAHLUNGEN!$B$9:$B$128,C919,SONDERZAHLUNGEN!$C$9:$C$128,A919,SONDERZAHLUNGEN!$H$9:$H$128,"OK",SONDERZAHLUNGEN!$F$9:$F$128,"Ja")))</x:f>
      </x:c>
      <x:c r="H919" s="88" t="str">
        <x:f>IF(C919="","",MIN(MAX(0,D919+E919-F919-G919),MAX(0,IF(MONATSBUDGET!$C$52="",0,MONATSBUDGET!$C$52)-SUM(F900:F919)-SUM(H900:H918))))</x:f>
      </x:c>
      <x:c r="I919" s="88" t="str">
        <x:f>IF(C919="","",MAX(0,ROUND(D919+E919-F919-G919-H919,2)))</x:f>
      </x:c>
      <x:c r="J919" s="88" t="str">
        <x:f>IF(C919="","",F919+G919+H919)</x:f>
      </x:c>
      <x:c r="K919" s="88" t="str">
        <x:f>IF(C919="","",MAX(0,SUMIFS(SONDERZAHLUNGEN!$E$9:$E$128,SONDERZAHLUNGEN!$B$9:$B$128,C919,SONDERZAHLUNGEN!$C$9:$C$128,A919,SONDERZAHLUNGEN!$H$9:$H$128,"OK",SONDERZAHLUNGEN!$F$9:$F$128,"Ja")-G919))</x:f>
      </x:c>
    </x:row>
    <x:row r="920" ht="19" customHeight="1">
      <x:c r="A920" s="90" t="n">
        <x:f>MONATSBUDGET!$A$53</x:f>
        <x:v>47604</x:v>
      </x:c>
      <x:c r="B920" t="n">
        <x:f>1</x:f>
        <x:v>1</x:v>
      </x:c>
      <x:c r="C920" t="str">
        <x:f>IF($N$9="","",$N$9)</x:f>
      </x:c>
      <x:c r="D920" s="88" t="str">
        <x:f>IF(C920="","",I900)</x:f>
      </x:c>
      <x:c r="E920" s="88" t="str">
        <x:f>IF(C920="","",ROUND(D920*$P$9/12,2))</x:f>
      </x:c>
      <x:c r="F920" s="88" t="str">
        <x:f>IF(C920="","",MIN(D920+E920,$Q$9))</x:f>
      </x:c>
      <x:c r="G920" s="88" t="str">
        <x:f>IF(C920="","",MIN(MAX(0,D920+E920-F920),SUMIFS(SONDERZAHLUNGEN!$E$9:$E$128,SONDERZAHLUNGEN!$B$9:$B$128,C920,SONDERZAHLUNGEN!$C$9:$C$128,A920,SONDERZAHLUNGEN!$H$9:$H$128,"OK",SONDERZAHLUNGEN!$F$9:$F$128,"Ja")))</x:f>
      </x:c>
      <x:c r="H920" s="88" t="str">
        <x:f>IF(C920="","",MIN(MAX(0,D920+E920-F920-G920),MAX(0,IF(MONATSBUDGET!$C$53="",0,MONATSBUDGET!$C$53)-SUM(F920:F939)-0)))</x:f>
      </x:c>
      <x:c r="I920" s="88" t="str">
        <x:f>IF(C920="","",MAX(0,ROUND(D920+E920-F920-G920-H920,2)))</x:f>
      </x:c>
      <x:c r="J920" s="88" t="str">
        <x:f>IF(C920="","",F920+G920+H920)</x:f>
      </x:c>
      <x:c r="K920" s="88" t="str">
        <x:f>IF(C920="","",MAX(0,SUMIFS(SONDERZAHLUNGEN!$E$9:$E$128,SONDERZAHLUNGEN!$B$9:$B$128,C920,SONDERZAHLUNGEN!$C$9:$C$128,A920,SONDERZAHLUNGEN!$H$9:$H$128,"OK",SONDERZAHLUNGEN!$F$9:$F$128,"Ja")-G920))</x:f>
      </x:c>
    </x:row>
    <x:row r="921" ht="19" customHeight="1">
      <x:c r="A921" s="90" t="n">
        <x:f>MONATSBUDGET!$A$53</x:f>
        <x:v>47604</x:v>
      </x:c>
      <x:c r="B921" t="n">
        <x:f>2</x:f>
        <x:v>2</x:v>
      </x:c>
      <x:c r="C921" t="str">
        <x:f>IF($N$10="","",$N$10)</x:f>
      </x:c>
      <x:c r="D921" s="88" t="str">
        <x:f>IF(C921="","",I901)</x:f>
      </x:c>
      <x:c r="E921" s="88" t="str">
        <x:f>IF(C921="","",ROUND(D921*$P$10/12,2))</x:f>
      </x:c>
      <x:c r="F921" s="88" t="str">
        <x:f>IF(C921="","",MIN(D921+E921,$Q$10))</x:f>
      </x:c>
      <x:c r="G921" s="88" t="str">
        <x:f>IF(C921="","",MIN(MAX(0,D921+E921-F921),SUMIFS(SONDERZAHLUNGEN!$E$9:$E$128,SONDERZAHLUNGEN!$B$9:$B$128,C921,SONDERZAHLUNGEN!$C$9:$C$128,A921,SONDERZAHLUNGEN!$H$9:$H$128,"OK",SONDERZAHLUNGEN!$F$9:$F$128,"Ja")))</x:f>
      </x:c>
      <x:c r="H921" s="88" t="str">
        <x:f>IF(C921="","",MIN(MAX(0,D921+E921-F921-G921),MAX(0,IF(MONATSBUDGET!$C$53="",0,MONATSBUDGET!$C$53)-SUM(F920:F939)-SUM(H920:H920))))</x:f>
      </x:c>
      <x:c r="I921" s="88" t="str">
        <x:f>IF(C921="","",MAX(0,ROUND(D921+E921-F921-G921-H921,2)))</x:f>
      </x:c>
      <x:c r="J921" s="88" t="str">
        <x:f>IF(C921="","",F921+G921+H921)</x:f>
      </x:c>
      <x:c r="K921" s="88" t="str">
        <x:f>IF(C921="","",MAX(0,SUMIFS(SONDERZAHLUNGEN!$E$9:$E$128,SONDERZAHLUNGEN!$B$9:$B$128,C921,SONDERZAHLUNGEN!$C$9:$C$128,A921,SONDERZAHLUNGEN!$H$9:$H$128,"OK",SONDERZAHLUNGEN!$F$9:$F$128,"Ja")-G921))</x:f>
      </x:c>
    </x:row>
    <x:row r="922" ht="19" customHeight="1">
      <x:c r="A922" s="90" t="n">
        <x:f>MONATSBUDGET!$A$53</x:f>
        <x:v>47604</x:v>
      </x:c>
      <x:c r="B922" t="n">
        <x:f>3</x:f>
        <x:v>3</x:v>
      </x:c>
      <x:c r="C922" t="str">
        <x:f>IF($N$11="","",$N$11)</x:f>
      </x:c>
      <x:c r="D922" s="88" t="str">
        <x:f>IF(C922="","",I902)</x:f>
      </x:c>
      <x:c r="E922" s="88" t="str">
        <x:f>IF(C922="","",ROUND(D922*$P$11/12,2))</x:f>
      </x:c>
      <x:c r="F922" s="88" t="str">
        <x:f>IF(C922="","",MIN(D922+E922,$Q$11))</x:f>
      </x:c>
      <x:c r="G922" s="88" t="str">
        <x:f>IF(C922="","",MIN(MAX(0,D922+E922-F922),SUMIFS(SONDERZAHLUNGEN!$E$9:$E$128,SONDERZAHLUNGEN!$B$9:$B$128,C922,SONDERZAHLUNGEN!$C$9:$C$128,A922,SONDERZAHLUNGEN!$H$9:$H$128,"OK",SONDERZAHLUNGEN!$F$9:$F$128,"Ja")))</x:f>
      </x:c>
      <x:c r="H922" s="88" t="str">
        <x:f>IF(C922="","",MIN(MAX(0,D922+E922-F922-G922),MAX(0,IF(MONATSBUDGET!$C$53="",0,MONATSBUDGET!$C$53)-SUM(F920:F939)-SUM(H920:H921))))</x:f>
      </x:c>
      <x:c r="I922" s="88" t="str">
        <x:f>IF(C922="","",MAX(0,ROUND(D922+E922-F922-G922-H922,2)))</x:f>
      </x:c>
      <x:c r="J922" s="88" t="str">
        <x:f>IF(C922="","",F922+G922+H922)</x:f>
      </x:c>
      <x:c r="K922" s="88" t="str">
        <x:f>IF(C922="","",MAX(0,SUMIFS(SONDERZAHLUNGEN!$E$9:$E$128,SONDERZAHLUNGEN!$B$9:$B$128,C922,SONDERZAHLUNGEN!$C$9:$C$128,A922,SONDERZAHLUNGEN!$H$9:$H$128,"OK",SONDERZAHLUNGEN!$F$9:$F$128,"Ja")-G922))</x:f>
      </x:c>
    </x:row>
    <x:row r="923" ht="19" customHeight="1">
      <x:c r="A923" s="90" t="n">
        <x:f>MONATSBUDGET!$A$53</x:f>
        <x:v>47604</x:v>
      </x:c>
      <x:c r="B923" t="n">
        <x:f>4</x:f>
        <x:v>4</x:v>
      </x:c>
      <x:c r="C923" t="str">
        <x:f>IF($N$12="","",$N$12)</x:f>
      </x:c>
      <x:c r="D923" s="88" t="str">
        <x:f>IF(C923="","",I903)</x:f>
      </x:c>
      <x:c r="E923" s="88" t="str">
        <x:f>IF(C923="","",ROUND(D923*$P$12/12,2))</x:f>
      </x:c>
      <x:c r="F923" s="88" t="str">
        <x:f>IF(C923="","",MIN(D923+E923,$Q$12))</x:f>
      </x:c>
      <x:c r="G923" s="88" t="str">
        <x:f>IF(C923="","",MIN(MAX(0,D923+E923-F923),SUMIFS(SONDERZAHLUNGEN!$E$9:$E$128,SONDERZAHLUNGEN!$B$9:$B$128,C923,SONDERZAHLUNGEN!$C$9:$C$128,A923,SONDERZAHLUNGEN!$H$9:$H$128,"OK",SONDERZAHLUNGEN!$F$9:$F$128,"Ja")))</x:f>
      </x:c>
      <x:c r="H923" s="88" t="str">
        <x:f>IF(C923="","",MIN(MAX(0,D923+E923-F923-G923),MAX(0,IF(MONATSBUDGET!$C$53="",0,MONATSBUDGET!$C$53)-SUM(F920:F939)-SUM(H920:H922))))</x:f>
      </x:c>
      <x:c r="I923" s="88" t="str">
        <x:f>IF(C923="","",MAX(0,ROUND(D923+E923-F923-G923-H923,2)))</x:f>
      </x:c>
      <x:c r="J923" s="88" t="str">
        <x:f>IF(C923="","",F923+G923+H923)</x:f>
      </x:c>
      <x:c r="K923" s="88" t="str">
        <x:f>IF(C923="","",MAX(0,SUMIFS(SONDERZAHLUNGEN!$E$9:$E$128,SONDERZAHLUNGEN!$B$9:$B$128,C923,SONDERZAHLUNGEN!$C$9:$C$128,A923,SONDERZAHLUNGEN!$H$9:$H$128,"OK",SONDERZAHLUNGEN!$F$9:$F$128,"Ja")-G923))</x:f>
      </x:c>
    </x:row>
    <x:row r="924" ht="19" customHeight="1">
      <x:c r="A924" s="90" t="n">
        <x:f>MONATSBUDGET!$A$53</x:f>
        <x:v>47604</x:v>
      </x:c>
      <x:c r="B924" t="n">
        <x:f>5</x:f>
        <x:v>5</x:v>
      </x:c>
      <x:c r="C924" t="str">
        <x:f>IF($N$13="","",$N$13)</x:f>
      </x:c>
      <x:c r="D924" s="88" t="str">
        <x:f>IF(C924="","",I904)</x:f>
      </x:c>
      <x:c r="E924" s="88" t="str">
        <x:f>IF(C924="","",ROUND(D924*$P$13/12,2))</x:f>
      </x:c>
      <x:c r="F924" s="88" t="str">
        <x:f>IF(C924="","",MIN(D924+E924,$Q$13))</x:f>
      </x:c>
      <x:c r="G924" s="88" t="str">
        <x:f>IF(C924="","",MIN(MAX(0,D924+E924-F924),SUMIFS(SONDERZAHLUNGEN!$E$9:$E$128,SONDERZAHLUNGEN!$B$9:$B$128,C924,SONDERZAHLUNGEN!$C$9:$C$128,A924,SONDERZAHLUNGEN!$H$9:$H$128,"OK",SONDERZAHLUNGEN!$F$9:$F$128,"Ja")))</x:f>
      </x:c>
      <x:c r="H924" s="88" t="str">
        <x:f>IF(C924="","",MIN(MAX(0,D924+E924-F924-G924),MAX(0,IF(MONATSBUDGET!$C$53="",0,MONATSBUDGET!$C$53)-SUM(F920:F939)-SUM(H920:H923))))</x:f>
      </x:c>
      <x:c r="I924" s="88" t="str">
        <x:f>IF(C924="","",MAX(0,ROUND(D924+E924-F924-G924-H924,2)))</x:f>
      </x:c>
      <x:c r="J924" s="88" t="str">
        <x:f>IF(C924="","",F924+G924+H924)</x:f>
      </x:c>
      <x:c r="K924" s="88" t="str">
        <x:f>IF(C924="","",MAX(0,SUMIFS(SONDERZAHLUNGEN!$E$9:$E$128,SONDERZAHLUNGEN!$B$9:$B$128,C924,SONDERZAHLUNGEN!$C$9:$C$128,A924,SONDERZAHLUNGEN!$H$9:$H$128,"OK",SONDERZAHLUNGEN!$F$9:$F$128,"Ja")-G924))</x:f>
      </x:c>
    </x:row>
    <x:row r="925" ht="19" customHeight="1">
      <x:c r="A925" s="90" t="n">
        <x:f>MONATSBUDGET!$A$53</x:f>
        <x:v>47604</x:v>
      </x:c>
      <x:c r="B925" t="n">
        <x:f>6</x:f>
        <x:v>6</x:v>
      </x:c>
      <x:c r="C925" t="str">
        <x:f>IF($N$14="","",$N$14)</x:f>
      </x:c>
      <x:c r="D925" s="88" t="str">
        <x:f>IF(C925="","",I905)</x:f>
      </x:c>
      <x:c r="E925" s="88" t="str">
        <x:f>IF(C925="","",ROUND(D925*$P$14/12,2))</x:f>
      </x:c>
      <x:c r="F925" s="88" t="str">
        <x:f>IF(C925="","",MIN(D925+E925,$Q$14))</x:f>
      </x:c>
      <x:c r="G925" s="88" t="str">
        <x:f>IF(C925="","",MIN(MAX(0,D925+E925-F925),SUMIFS(SONDERZAHLUNGEN!$E$9:$E$128,SONDERZAHLUNGEN!$B$9:$B$128,C925,SONDERZAHLUNGEN!$C$9:$C$128,A925,SONDERZAHLUNGEN!$H$9:$H$128,"OK",SONDERZAHLUNGEN!$F$9:$F$128,"Ja")))</x:f>
      </x:c>
      <x:c r="H925" s="88" t="str">
        <x:f>IF(C925="","",MIN(MAX(0,D925+E925-F925-G925),MAX(0,IF(MONATSBUDGET!$C$53="",0,MONATSBUDGET!$C$53)-SUM(F920:F939)-SUM(H920:H924))))</x:f>
      </x:c>
      <x:c r="I925" s="88" t="str">
        <x:f>IF(C925="","",MAX(0,ROUND(D925+E925-F925-G925-H925,2)))</x:f>
      </x:c>
      <x:c r="J925" s="88" t="str">
        <x:f>IF(C925="","",F925+G925+H925)</x:f>
      </x:c>
      <x:c r="K925" s="88" t="str">
        <x:f>IF(C925="","",MAX(0,SUMIFS(SONDERZAHLUNGEN!$E$9:$E$128,SONDERZAHLUNGEN!$B$9:$B$128,C925,SONDERZAHLUNGEN!$C$9:$C$128,A925,SONDERZAHLUNGEN!$H$9:$H$128,"OK",SONDERZAHLUNGEN!$F$9:$F$128,"Ja")-G925))</x:f>
      </x:c>
    </x:row>
    <x:row r="926" ht="19" customHeight="1">
      <x:c r="A926" s="90" t="n">
        <x:f>MONATSBUDGET!$A$53</x:f>
        <x:v>47604</x:v>
      </x:c>
      <x:c r="B926" t="n">
        <x:f>7</x:f>
        <x:v>7</x:v>
      </x:c>
      <x:c r="C926" t="str">
        <x:f>IF($N$15="","",$N$15)</x:f>
      </x:c>
      <x:c r="D926" s="88" t="str">
        <x:f>IF(C926="","",I906)</x:f>
      </x:c>
      <x:c r="E926" s="88" t="str">
        <x:f>IF(C926="","",ROUND(D926*$P$15/12,2))</x:f>
      </x:c>
      <x:c r="F926" s="88" t="str">
        <x:f>IF(C926="","",MIN(D926+E926,$Q$15))</x:f>
      </x:c>
      <x:c r="G926" s="88" t="str">
        <x:f>IF(C926="","",MIN(MAX(0,D926+E926-F926),SUMIFS(SONDERZAHLUNGEN!$E$9:$E$128,SONDERZAHLUNGEN!$B$9:$B$128,C926,SONDERZAHLUNGEN!$C$9:$C$128,A926,SONDERZAHLUNGEN!$H$9:$H$128,"OK",SONDERZAHLUNGEN!$F$9:$F$128,"Ja")))</x:f>
      </x:c>
      <x:c r="H926" s="88" t="str">
        <x:f>IF(C926="","",MIN(MAX(0,D926+E926-F926-G926),MAX(0,IF(MONATSBUDGET!$C$53="",0,MONATSBUDGET!$C$53)-SUM(F920:F939)-SUM(H920:H925))))</x:f>
      </x:c>
      <x:c r="I926" s="88" t="str">
        <x:f>IF(C926="","",MAX(0,ROUND(D926+E926-F926-G926-H926,2)))</x:f>
      </x:c>
      <x:c r="J926" s="88" t="str">
        <x:f>IF(C926="","",F926+G926+H926)</x:f>
      </x:c>
      <x:c r="K926" s="88" t="str">
        <x:f>IF(C926="","",MAX(0,SUMIFS(SONDERZAHLUNGEN!$E$9:$E$128,SONDERZAHLUNGEN!$B$9:$B$128,C926,SONDERZAHLUNGEN!$C$9:$C$128,A926,SONDERZAHLUNGEN!$H$9:$H$128,"OK",SONDERZAHLUNGEN!$F$9:$F$128,"Ja")-G926))</x:f>
      </x:c>
    </x:row>
    <x:row r="927" ht="19" customHeight="1">
      <x:c r="A927" s="90" t="n">
        <x:f>MONATSBUDGET!$A$53</x:f>
        <x:v>47604</x:v>
      </x:c>
      <x:c r="B927" t="n">
        <x:f>8</x:f>
        <x:v>8</x:v>
      </x:c>
      <x:c r="C927" t="str">
        <x:f>IF($N$16="","",$N$16)</x:f>
      </x:c>
      <x:c r="D927" s="88" t="str">
        <x:f>IF(C927="","",I907)</x:f>
      </x:c>
      <x:c r="E927" s="88" t="str">
        <x:f>IF(C927="","",ROUND(D927*$P$16/12,2))</x:f>
      </x:c>
      <x:c r="F927" s="88" t="str">
        <x:f>IF(C927="","",MIN(D927+E927,$Q$16))</x:f>
      </x:c>
      <x:c r="G927" s="88" t="str">
        <x:f>IF(C927="","",MIN(MAX(0,D927+E927-F927),SUMIFS(SONDERZAHLUNGEN!$E$9:$E$128,SONDERZAHLUNGEN!$B$9:$B$128,C927,SONDERZAHLUNGEN!$C$9:$C$128,A927,SONDERZAHLUNGEN!$H$9:$H$128,"OK",SONDERZAHLUNGEN!$F$9:$F$128,"Ja")))</x:f>
      </x:c>
      <x:c r="H927" s="88" t="str">
        <x:f>IF(C927="","",MIN(MAX(0,D927+E927-F927-G927),MAX(0,IF(MONATSBUDGET!$C$53="",0,MONATSBUDGET!$C$53)-SUM(F920:F939)-SUM(H920:H926))))</x:f>
      </x:c>
      <x:c r="I927" s="88" t="str">
        <x:f>IF(C927="","",MAX(0,ROUND(D927+E927-F927-G927-H927,2)))</x:f>
      </x:c>
      <x:c r="J927" s="88" t="str">
        <x:f>IF(C927="","",F927+G927+H927)</x:f>
      </x:c>
      <x:c r="K927" s="88" t="str">
        <x:f>IF(C927="","",MAX(0,SUMIFS(SONDERZAHLUNGEN!$E$9:$E$128,SONDERZAHLUNGEN!$B$9:$B$128,C927,SONDERZAHLUNGEN!$C$9:$C$128,A927,SONDERZAHLUNGEN!$H$9:$H$128,"OK",SONDERZAHLUNGEN!$F$9:$F$128,"Ja")-G927))</x:f>
      </x:c>
    </x:row>
    <x:row r="928" ht="19" customHeight="1">
      <x:c r="A928" s="90" t="n">
        <x:f>MONATSBUDGET!$A$53</x:f>
        <x:v>47604</x:v>
      </x:c>
      <x:c r="B928" t="n">
        <x:f>9</x:f>
        <x:v>9</x:v>
      </x:c>
      <x:c r="C928" t="str">
        <x:f>IF($N$17="","",$N$17)</x:f>
      </x:c>
      <x:c r="D928" s="88" t="str">
        <x:f>IF(C928="","",I908)</x:f>
      </x:c>
      <x:c r="E928" s="88" t="str">
        <x:f>IF(C928="","",ROUND(D928*$P$17/12,2))</x:f>
      </x:c>
      <x:c r="F928" s="88" t="str">
        <x:f>IF(C928="","",MIN(D928+E928,$Q$17))</x:f>
      </x:c>
      <x:c r="G928" s="88" t="str">
        <x:f>IF(C928="","",MIN(MAX(0,D928+E928-F928),SUMIFS(SONDERZAHLUNGEN!$E$9:$E$128,SONDERZAHLUNGEN!$B$9:$B$128,C928,SONDERZAHLUNGEN!$C$9:$C$128,A928,SONDERZAHLUNGEN!$H$9:$H$128,"OK",SONDERZAHLUNGEN!$F$9:$F$128,"Ja")))</x:f>
      </x:c>
      <x:c r="H928" s="88" t="str">
        <x:f>IF(C928="","",MIN(MAX(0,D928+E928-F928-G928),MAX(0,IF(MONATSBUDGET!$C$53="",0,MONATSBUDGET!$C$53)-SUM(F920:F939)-SUM(H920:H927))))</x:f>
      </x:c>
      <x:c r="I928" s="88" t="str">
        <x:f>IF(C928="","",MAX(0,ROUND(D928+E928-F928-G928-H928,2)))</x:f>
      </x:c>
      <x:c r="J928" s="88" t="str">
        <x:f>IF(C928="","",F928+G928+H928)</x:f>
      </x:c>
      <x:c r="K928" s="88" t="str">
        <x:f>IF(C928="","",MAX(0,SUMIFS(SONDERZAHLUNGEN!$E$9:$E$128,SONDERZAHLUNGEN!$B$9:$B$128,C928,SONDERZAHLUNGEN!$C$9:$C$128,A928,SONDERZAHLUNGEN!$H$9:$H$128,"OK",SONDERZAHLUNGEN!$F$9:$F$128,"Ja")-G928))</x:f>
      </x:c>
    </x:row>
    <x:row r="929" ht="19" customHeight="1">
      <x:c r="A929" s="90" t="n">
        <x:f>MONATSBUDGET!$A$53</x:f>
        <x:v>47604</x:v>
      </x:c>
      <x:c r="B929" t="n">
        <x:f>10</x:f>
        <x:v>10</x:v>
      </x:c>
      <x:c r="C929" t="str">
        <x:f>IF($N$18="","",$N$18)</x:f>
      </x:c>
      <x:c r="D929" s="88" t="str">
        <x:f>IF(C929="","",I909)</x:f>
      </x:c>
      <x:c r="E929" s="88" t="str">
        <x:f>IF(C929="","",ROUND(D929*$P$18/12,2))</x:f>
      </x:c>
      <x:c r="F929" s="88" t="str">
        <x:f>IF(C929="","",MIN(D929+E929,$Q$18))</x:f>
      </x:c>
      <x:c r="G929" s="88" t="str">
        <x:f>IF(C929="","",MIN(MAX(0,D929+E929-F929),SUMIFS(SONDERZAHLUNGEN!$E$9:$E$128,SONDERZAHLUNGEN!$B$9:$B$128,C929,SONDERZAHLUNGEN!$C$9:$C$128,A929,SONDERZAHLUNGEN!$H$9:$H$128,"OK",SONDERZAHLUNGEN!$F$9:$F$128,"Ja")))</x:f>
      </x:c>
      <x:c r="H929" s="88" t="str">
        <x:f>IF(C929="","",MIN(MAX(0,D929+E929-F929-G929),MAX(0,IF(MONATSBUDGET!$C$53="",0,MONATSBUDGET!$C$53)-SUM(F920:F939)-SUM(H920:H928))))</x:f>
      </x:c>
      <x:c r="I929" s="88" t="str">
        <x:f>IF(C929="","",MAX(0,ROUND(D929+E929-F929-G929-H929,2)))</x:f>
      </x:c>
      <x:c r="J929" s="88" t="str">
        <x:f>IF(C929="","",F929+G929+H929)</x:f>
      </x:c>
      <x:c r="K929" s="88" t="str">
        <x:f>IF(C929="","",MAX(0,SUMIFS(SONDERZAHLUNGEN!$E$9:$E$128,SONDERZAHLUNGEN!$B$9:$B$128,C929,SONDERZAHLUNGEN!$C$9:$C$128,A929,SONDERZAHLUNGEN!$H$9:$H$128,"OK",SONDERZAHLUNGEN!$F$9:$F$128,"Ja")-G929))</x:f>
      </x:c>
    </x:row>
    <x:row r="930" ht="19" customHeight="1">
      <x:c r="A930" s="90" t="n">
        <x:f>MONATSBUDGET!$A$53</x:f>
        <x:v>47604</x:v>
      </x:c>
      <x:c r="B930" t="n">
        <x:f>11</x:f>
        <x:v>11</x:v>
      </x:c>
      <x:c r="C930" t="str">
        <x:f>IF($N$19="","",$N$19)</x:f>
      </x:c>
      <x:c r="D930" s="88" t="str">
        <x:f>IF(C930="","",I910)</x:f>
      </x:c>
      <x:c r="E930" s="88" t="str">
        <x:f>IF(C930="","",ROUND(D930*$P$19/12,2))</x:f>
      </x:c>
      <x:c r="F930" s="88" t="str">
        <x:f>IF(C930="","",MIN(D930+E930,$Q$19))</x:f>
      </x:c>
      <x:c r="G930" s="88" t="str">
        <x:f>IF(C930="","",MIN(MAX(0,D930+E930-F930),SUMIFS(SONDERZAHLUNGEN!$E$9:$E$128,SONDERZAHLUNGEN!$B$9:$B$128,C930,SONDERZAHLUNGEN!$C$9:$C$128,A930,SONDERZAHLUNGEN!$H$9:$H$128,"OK",SONDERZAHLUNGEN!$F$9:$F$128,"Ja")))</x:f>
      </x:c>
      <x:c r="H930" s="88" t="str">
        <x:f>IF(C930="","",MIN(MAX(0,D930+E930-F930-G930),MAX(0,IF(MONATSBUDGET!$C$53="",0,MONATSBUDGET!$C$53)-SUM(F920:F939)-SUM(H920:H929))))</x:f>
      </x:c>
      <x:c r="I930" s="88" t="str">
        <x:f>IF(C930="","",MAX(0,ROUND(D930+E930-F930-G930-H930,2)))</x:f>
      </x:c>
      <x:c r="J930" s="88" t="str">
        <x:f>IF(C930="","",F930+G930+H930)</x:f>
      </x:c>
      <x:c r="K930" s="88" t="str">
        <x:f>IF(C930="","",MAX(0,SUMIFS(SONDERZAHLUNGEN!$E$9:$E$128,SONDERZAHLUNGEN!$B$9:$B$128,C930,SONDERZAHLUNGEN!$C$9:$C$128,A930,SONDERZAHLUNGEN!$H$9:$H$128,"OK",SONDERZAHLUNGEN!$F$9:$F$128,"Ja")-G930))</x:f>
      </x:c>
    </x:row>
    <x:row r="931" ht="19" customHeight="1">
      <x:c r="A931" s="90" t="n">
        <x:f>MONATSBUDGET!$A$53</x:f>
        <x:v>47604</x:v>
      </x:c>
      <x:c r="B931" t="n">
        <x:f>12</x:f>
        <x:v>12</x:v>
      </x:c>
      <x:c r="C931" t="str">
        <x:f>IF($N$20="","",$N$20)</x:f>
      </x:c>
      <x:c r="D931" s="88" t="str">
        <x:f>IF(C931="","",I911)</x:f>
      </x:c>
      <x:c r="E931" s="88" t="str">
        <x:f>IF(C931="","",ROUND(D931*$P$20/12,2))</x:f>
      </x:c>
      <x:c r="F931" s="88" t="str">
        <x:f>IF(C931="","",MIN(D931+E931,$Q$20))</x:f>
      </x:c>
      <x:c r="G931" s="88" t="str">
        <x:f>IF(C931="","",MIN(MAX(0,D931+E931-F931),SUMIFS(SONDERZAHLUNGEN!$E$9:$E$128,SONDERZAHLUNGEN!$B$9:$B$128,C931,SONDERZAHLUNGEN!$C$9:$C$128,A931,SONDERZAHLUNGEN!$H$9:$H$128,"OK",SONDERZAHLUNGEN!$F$9:$F$128,"Ja")))</x:f>
      </x:c>
      <x:c r="H931" s="88" t="str">
        <x:f>IF(C931="","",MIN(MAX(0,D931+E931-F931-G931),MAX(0,IF(MONATSBUDGET!$C$53="",0,MONATSBUDGET!$C$53)-SUM(F920:F939)-SUM(H920:H930))))</x:f>
      </x:c>
      <x:c r="I931" s="88" t="str">
        <x:f>IF(C931="","",MAX(0,ROUND(D931+E931-F931-G931-H931,2)))</x:f>
      </x:c>
      <x:c r="J931" s="88" t="str">
        <x:f>IF(C931="","",F931+G931+H931)</x:f>
      </x:c>
      <x:c r="K931" s="88" t="str">
        <x:f>IF(C931="","",MAX(0,SUMIFS(SONDERZAHLUNGEN!$E$9:$E$128,SONDERZAHLUNGEN!$B$9:$B$128,C931,SONDERZAHLUNGEN!$C$9:$C$128,A931,SONDERZAHLUNGEN!$H$9:$H$128,"OK",SONDERZAHLUNGEN!$F$9:$F$128,"Ja")-G931))</x:f>
      </x:c>
    </x:row>
    <x:row r="932" ht="19" customHeight="1">
      <x:c r="A932" s="90" t="n">
        <x:f>MONATSBUDGET!$A$53</x:f>
        <x:v>47604</x:v>
      </x:c>
      <x:c r="B932" t="n">
        <x:f>13</x:f>
        <x:v>13</x:v>
      </x:c>
      <x:c r="C932" t="str">
        <x:f>IF($N$21="","",$N$21)</x:f>
      </x:c>
      <x:c r="D932" s="88" t="str">
        <x:f>IF(C932="","",I912)</x:f>
      </x:c>
      <x:c r="E932" s="88" t="str">
        <x:f>IF(C932="","",ROUND(D932*$P$21/12,2))</x:f>
      </x:c>
      <x:c r="F932" s="88" t="str">
        <x:f>IF(C932="","",MIN(D932+E932,$Q$21))</x:f>
      </x:c>
      <x:c r="G932" s="88" t="str">
        <x:f>IF(C932="","",MIN(MAX(0,D932+E932-F932),SUMIFS(SONDERZAHLUNGEN!$E$9:$E$128,SONDERZAHLUNGEN!$B$9:$B$128,C932,SONDERZAHLUNGEN!$C$9:$C$128,A932,SONDERZAHLUNGEN!$H$9:$H$128,"OK",SONDERZAHLUNGEN!$F$9:$F$128,"Ja")))</x:f>
      </x:c>
      <x:c r="H932" s="88" t="str">
        <x:f>IF(C932="","",MIN(MAX(0,D932+E932-F932-G932),MAX(0,IF(MONATSBUDGET!$C$53="",0,MONATSBUDGET!$C$53)-SUM(F920:F939)-SUM(H920:H931))))</x:f>
      </x:c>
      <x:c r="I932" s="88" t="str">
        <x:f>IF(C932="","",MAX(0,ROUND(D932+E932-F932-G932-H932,2)))</x:f>
      </x:c>
      <x:c r="J932" s="88" t="str">
        <x:f>IF(C932="","",F932+G932+H932)</x:f>
      </x:c>
      <x:c r="K932" s="88" t="str">
        <x:f>IF(C932="","",MAX(0,SUMIFS(SONDERZAHLUNGEN!$E$9:$E$128,SONDERZAHLUNGEN!$B$9:$B$128,C932,SONDERZAHLUNGEN!$C$9:$C$128,A932,SONDERZAHLUNGEN!$H$9:$H$128,"OK",SONDERZAHLUNGEN!$F$9:$F$128,"Ja")-G932))</x:f>
      </x:c>
    </x:row>
    <x:row r="933" ht="19" customHeight="1">
      <x:c r="A933" s="90" t="n">
        <x:f>MONATSBUDGET!$A$53</x:f>
        <x:v>47604</x:v>
      </x:c>
      <x:c r="B933" t="n">
        <x:f>14</x:f>
        <x:v>14</x:v>
      </x:c>
      <x:c r="C933" t="str">
        <x:f>IF($N$22="","",$N$22)</x:f>
      </x:c>
      <x:c r="D933" s="88" t="str">
        <x:f>IF(C933="","",I913)</x:f>
      </x:c>
      <x:c r="E933" s="88" t="str">
        <x:f>IF(C933="","",ROUND(D933*$P$22/12,2))</x:f>
      </x:c>
      <x:c r="F933" s="88" t="str">
        <x:f>IF(C933="","",MIN(D933+E933,$Q$22))</x:f>
      </x:c>
      <x:c r="G933" s="88" t="str">
        <x:f>IF(C933="","",MIN(MAX(0,D933+E933-F933),SUMIFS(SONDERZAHLUNGEN!$E$9:$E$128,SONDERZAHLUNGEN!$B$9:$B$128,C933,SONDERZAHLUNGEN!$C$9:$C$128,A933,SONDERZAHLUNGEN!$H$9:$H$128,"OK",SONDERZAHLUNGEN!$F$9:$F$128,"Ja")))</x:f>
      </x:c>
      <x:c r="H933" s="88" t="str">
        <x:f>IF(C933="","",MIN(MAX(0,D933+E933-F933-G933),MAX(0,IF(MONATSBUDGET!$C$53="",0,MONATSBUDGET!$C$53)-SUM(F920:F939)-SUM(H920:H932))))</x:f>
      </x:c>
      <x:c r="I933" s="88" t="str">
        <x:f>IF(C933="","",MAX(0,ROUND(D933+E933-F933-G933-H933,2)))</x:f>
      </x:c>
      <x:c r="J933" s="88" t="str">
        <x:f>IF(C933="","",F933+G933+H933)</x:f>
      </x:c>
      <x:c r="K933" s="88" t="str">
        <x:f>IF(C933="","",MAX(0,SUMIFS(SONDERZAHLUNGEN!$E$9:$E$128,SONDERZAHLUNGEN!$B$9:$B$128,C933,SONDERZAHLUNGEN!$C$9:$C$128,A933,SONDERZAHLUNGEN!$H$9:$H$128,"OK",SONDERZAHLUNGEN!$F$9:$F$128,"Ja")-G933))</x:f>
      </x:c>
    </x:row>
    <x:row r="934" ht="19" customHeight="1">
      <x:c r="A934" s="90" t="n">
        <x:f>MONATSBUDGET!$A$53</x:f>
        <x:v>47604</x:v>
      </x:c>
      <x:c r="B934" t="n">
        <x:f>15</x:f>
        <x:v>15</x:v>
      </x:c>
      <x:c r="C934" t="str">
        <x:f>IF($N$23="","",$N$23)</x:f>
      </x:c>
      <x:c r="D934" s="88" t="str">
        <x:f>IF(C934="","",I914)</x:f>
      </x:c>
      <x:c r="E934" s="88" t="str">
        <x:f>IF(C934="","",ROUND(D934*$P$23/12,2))</x:f>
      </x:c>
      <x:c r="F934" s="88" t="str">
        <x:f>IF(C934="","",MIN(D934+E934,$Q$23))</x:f>
      </x:c>
      <x:c r="G934" s="88" t="str">
        <x:f>IF(C934="","",MIN(MAX(0,D934+E934-F934),SUMIFS(SONDERZAHLUNGEN!$E$9:$E$128,SONDERZAHLUNGEN!$B$9:$B$128,C934,SONDERZAHLUNGEN!$C$9:$C$128,A934,SONDERZAHLUNGEN!$H$9:$H$128,"OK",SONDERZAHLUNGEN!$F$9:$F$128,"Ja")))</x:f>
      </x:c>
      <x:c r="H934" s="88" t="str">
        <x:f>IF(C934="","",MIN(MAX(0,D934+E934-F934-G934),MAX(0,IF(MONATSBUDGET!$C$53="",0,MONATSBUDGET!$C$53)-SUM(F920:F939)-SUM(H920:H933))))</x:f>
      </x:c>
      <x:c r="I934" s="88" t="str">
        <x:f>IF(C934="","",MAX(0,ROUND(D934+E934-F934-G934-H934,2)))</x:f>
      </x:c>
      <x:c r="J934" s="88" t="str">
        <x:f>IF(C934="","",F934+G934+H934)</x:f>
      </x:c>
      <x:c r="K934" s="88" t="str">
        <x:f>IF(C934="","",MAX(0,SUMIFS(SONDERZAHLUNGEN!$E$9:$E$128,SONDERZAHLUNGEN!$B$9:$B$128,C934,SONDERZAHLUNGEN!$C$9:$C$128,A934,SONDERZAHLUNGEN!$H$9:$H$128,"OK",SONDERZAHLUNGEN!$F$9:$F$128,"Ja")-G934))</x:f>
      </x:c>
    </x:row>
    <x:row r="935" ht="19" customHeight="1">
      <x:c r="A935" s="90" t="n">
        <x:f>MONATSBUDGET!$A$53</x:f>
        <x:v>47604</x:v>
      </x:c>
      <x:c r="B935" t="n">
        <x:f>16</x:f>
        <x:v>16</x:v>
      </x:c>
      <x:c r="C935" t="str">
        <x:f>IF($N$24="","",$N$24)</x:f>
      </x:c>
      <x:c r="D935" s="88" t="str">
        <x:f>IF(C935="","",I915)</x:f>
      </x:c>
      <x:c r="E935" s="88" t="str">
        <x:f>IF(C935="","",ROUND(D935*$P$24/12,2))</x:f>
      </x:c>
      <x:c r="F935" s="88" t="str">
        <x:f>IF(C935="","",MIN(D935+E935,$Q$24))</x:f>
      </x:c>
      <x:c r="G935" s="88" t="str">
        <x:f>IF(C935="","",MIN(MAX(0,D935+E935-F935),SUMIFS(SONDERZAHLUNGEN!$E$9:$E$128,SONDERZAHLUNGEN!$B$9:$B$128,C935,SONDERZAHLUNGEN!$C$9:$C$128,A935,SONDERZAHLUNGEN!$H$9:$H$128,"OK",SONDERZAHLUNGEN!$F$9:$F$128,"Ja")))</x:f>
      </x:c>
      <x:c r="H935" s="88" t="str">
        <x:f>IF(C935="","",MIN(MAX(0,D935+E935-F935-G935),MAX(0,IF(MONATSBUDGET!$C$53="",0,MONATSBUDGET!$C$53)-SUM(F920:F939)-SUM(H920:H934))))</x:f>
      </x:c>
      <x:c r="I935" s="88" t="str">
        <x:f>IF(C935="","",MAX(0,ROUND(D935+E935-F935-G935-H935,2)))</x:f>
      </x:c>
      <x:c r="J935" s="88" t="str">
        <x:f>IF(C935="","",F935+G935+H935)</x:f>
      </x:c>
      <x:c r="K935" s="88" t="str">
        <x:f>IF(C935="","",MAX(0,SUMIFS(SONDERZAHLUNGEN!$E$9:$E$128,SONDERZAHLUNGEN!$B$9:$B$128,C935,SONDERZAHLUNGEN!$C$9:$C$128,A935,SONDERZAHLUNGEN!$H$9:$H$128,"OK",SONDERZAHLUNGEN!$F$9:$F$128,"Ja")-G935))</x:f>
      </x:c>
    </x:row>
    <x:row r="936" ht="19" customHeight="1">
      <x:c r="A936" s="90" t="n">
        <x:f>MONATSBUDGET!$A$53</x:f>
        <x:v>47604</x:v>
      </x:c>
      <x:c r="B936" t="n">
        <x:f>17</x:f>
        <x:v>17</x:v>
      </x:c>
      <x:c r="C936" t="str">
        <x:f>IF($N$25="","",$N$25)</x:f>
      </x:c>
      <x:c r="D936" s="88" t="str">
        <x:f>IF(C936="","",I916)</x:f>
      </x:c>
      <x:c r="E936" s="88" t="str">
        <x:f>IF(C936="","",ROUND(D936*$P$25/12,2))</x:f>
      </x:c>
      <x:c r="F936" s="88" t="str">
        <x:f>IF(C936="","",MIN(D936+E936,$Q$25))</x:f>
      </x:c>
      <x:c r="G936" s="88" t="str">
        <x:f>IF(C936="","",MIN(MAX(0,D936+E936-F936),SUMIFS(SONDERZAHLUNGEN!$E$9:$E$128,SONDERZAHLUNGEN!$B$9:$B$128,C936,SONDERZAHLUNGEN!$C$9:$C$128,A936,SONDERZAHLUNGEN!$H$9:$H$128,"OK",SONDERZAHLUNGEN!$F$9:$F$128,"Ja")))</x:f>
      </x:c>
      <x:c r="H936" s="88" t="str">
        <x:f>IF(C936="","",MIN(MAX(0,D936+E936-F936-G936),MAX(0,IF(MONATSBUDGET!$C$53="",0,MONATSBUDGET!$C$53)-SUM(F920:F939)-SUM(H920:H935))))</x:f>
      </x:c>
      <x:c r="I936" s="88" t="str">
        <x:f>IF(C936="","",MAX(0,ROUND(D936+E936-F936-G936-H936,2)))</x:f>
      </x:c>
      <x:c r="J936" s="88" t="str">
        <x:f>IF(C936="","",F936+G936+H936)</x:f>
      </x:c>
      <x:c r="K936" s="88" t="str">
        <x:f>IF(C936="","",MAX(0,SUMIFS(SONDERZAHLUNGEN!$E$9:$E$128,SONDERZAHLUNGEN!$B$9:$B$128,C936,SONDERZAHLUNGEN!$C$9:$C$128,A936,SONDERZAHLUNGEN!$H$9:$H$128,"OK",SONDERZAHLUNGEN!$F$9:$F$128,"Ja")-G936))</x:f>
      </x:c>
    </x:row>
    <x:row r="937" ht="19" customHeight="1">
      <x:c r="A937" s="90" t="n">
        <x:f>MONATSBUDGET!$A$53</x:f>
        <x:v>47604</x:v>
      </x:c>
      <x:c r="B937" t="n">
        <x:f>18</x:f>
        <x:v>18</x:v>
      </x:c>
      <x:c r="C937" t="str">
        <x:f>IF($N$26="","",$N$26)</x:f>
      </x:c>
      <x:c r="D937" s="88" t="str">
        <x:f>IF(C937="","",I917)</x:f>
      </x:c>
      <x:c r="E937" s="88" t="str">
        <x:f>IF(C937="","",ROUND(D937*$P$26/12,2))</x:f>
      </x:c>
      <x:c r="F937" s="88" t="str">
        <x:f>IF(C937="","",MIN(D937+E937,$Q$26))</x:f>
      </x:c>
      <x:c r="G937" s="88" t="str">
        <x:f>IF(C937="","",MIN(MAX(0,D937+E937-F937),SUMIFS(SONDERZAHLUNGEN!$E$9:$E$128,SONDERZAHLUNGEN!$B$9:$B$128,C937,SONDERZAHLUNGEN!$C$9:$C$128,A937,SONDERZAHLUNGEN!$H$9:$H$128,"OK",SONDERZAHLUNGEN!$F$9:$F$128,"Ja")))</x:f>
      </x:c>
      <x:c r="H937" s="88" t="str">
        <x:f>IF(C937="","",MIN(MAX(0,D937+E937-F937-G937),MAX(0,IF(MONATSBUDGET!$C$53="",0,MONATSBUDGET!$C$53)-SUM(F920:F939)-SUM(H920:H936))))</x:f>
      </x:c>
      <x:c r="I937" s="88" t="str">
        <x:f>IF(C937="","",MAX(0,ROUND(D937+E937-F937-G937-H937,2)))</x:f>
      </x:c>
      <x:c r="J937" s="88" t="str">
        <x:f>IF(C937="","",F937+G937+H937)</x:f>
      </x:c>
      <x:c r="K937" s="88" t="str">
        <x:f>IF(C937="","",MAX(0,SUMIFS(SONDERZAHLUNGEN!$E$9:$E$128,SONDERZAHLUNGEN!$B$9:$B$128,C937,SONDERZAHLUNGEN!$C$9:$C$128,A937,SONDERZAHLUNGEN!$H$9:$H$128,"OK",SONDERZAHLUNGEN!$F$9:$F$128,"Ja")-G937))</x:f>
      </x:c>
    </x:row>
    <x:row r="938" ht="19" customHeight="1">
      <x:c r="A938" s="90" t="n">
        <x:f>MONATSBUDGET!$A$53</x:f>
        <x:v>47604</x:v>
      </x:c>
      <x:c r="B938" t="n">
        <x:f>19</x:f>
        <x:v>19</x:v>
      </x:c>
      <x:c r="C938" t="str">
        <x:f>IF($N$27="","",$N$27)</x:f>
      </x:c>
      <x:c r="D938" s="88" t="str">
        <x:f>IF(C938="","",I918)</x:f>
      </x:c>
      <x:c r="E938" s="88" t="str">
        <x:f>IF(C938="","",ROUND(D938*$P$27/12,2))</x:f>
      </x:c>
      <x:c r="F938" s="88" t="str">
        <x:f>IF(C938="","",MIN(D938+E938,$Q$27))</x:f>
      </x:c>
      <x:c r="G938" s="88" t="str">
        <x:f>IF(C938="","",MIN(MAX(0,D938+E938-F938),SUMIFS(SONDERZAHLUNGEN!$E$9:$E$128,SONDERZAHLUNGEN!$B$9:$B$128,C938,SONDERZAHLUNGEN!$C$9:$C$128,A938,SONDERZAHLUNGEN!$H$9:$H$128,"OK",SONDERZAHLUNGEN!$F$9:$F$128,"Ja")))</x:f>
      </x:c>
      <x:c r="H938" s="88" t="str">
        <x:f>IF(C938="","",MIN(MAX(0,D938+E938-F938-G938),MAX(0,IF(MONATSBUDGET!$C$53="",0,MONATSBUDGET!$C$53)-SUM(F920:F939)-SUM(H920:H937))))</x:f>
      </x:c>
      <x:c r="I938" s="88" t="str">
        <x:f>IF(C938="","",MAX(0,ROUND(D938+E938-F938-G938-H938,2)))</x:f>
      </x:c>
      <x:c r="J938" s="88" t="str">
        <x:f>IF(C938="","",F938+G938+H938)</x:f>
      </x:c>
      <x:c r="K938" s="88" t="str">
        <x:f>IF(C938="","",MAX(0,SUMIFS(SONDERZAHLUNGEN!$E$9:$E$128,SONDERZAHLUNGEN!$B$9:$B$128,C938,SONDERZAHLUNGEN!$C$9:$C$128,A938,SONDERZAHLUNGEN!$H$9:$H$128,"OK",SONDERZAHLUNGEN!$F$9:$F$128,"Ja")-G938))</x:f>
      </x:c>
    </x:row>
    <x:row r="939" ht="19" customHeight="1">
      <x:c r="A939" s="90" t="n">
        <x:f>MONATSBUDGET!$A$53</x:f>
        <x:v>47604</x:v>
      </x:c>
      <x:c r="B939" t="n">
        <x:f>20</x:f>
        <x:v>20</x:v>
      </x:c>
      <x:c r="C939" t="str">
        <x:f>IF($N$28="","",$N$28)</x:f>
      </x:c>
      <x:c r="D939" s="88" t="str">
        <x:f>IF(C939="","",I919)</x:f>
      </x:c>
      <x:c r="E939" s="88" t="str">
        <x:f>IF(C939="","",ROUND(D939*$P$28/12,2))</x:f>
      </x:c>
      <x:c r="F939" s="88" t="str">
        <x:f>IF(C939="","",MIN(D939+E939,$Q$28))</x:f>
      </x:c>
      <x:c r="G939" s="88" t="str">
        <x:f>IF(C939="","",MIN(MAX(0,D939+E939-F939),SUMIFS(SONDERZAHLUNGEN!$E$9:$E$128,SONDERZAHLUNGEN!$B$9:$B$128,C939,SONDERZAHLUNGEN!$C$9:$C$128,A939,SONDERZAHLUNGEN!$H$9:$H$128,"OK",SONDERZAHLUNGEN!$F$9:$F$128,"Ja")))</x:f>
      </x:c>
      <x:c r="H939" s="88" t="str">
        <x:f>IF(C939="","",MIN(MAX(0,D939+E939-F939-G939),MAX(0,IF(MONATSBUDGET!$C$53="",0,MONATSBUDGET!$C$53)-SUM(F920:F939)-SUM(H920:H938))))</x:f>
      </x:c>
      <x:c r="I939" s="88" t="str">
        <x:f>IF(C939="","",MAX(0,ROUND(D939+E939-F939-G939-H939,2)))</x:f>
      </x:c>
      <x:c r="J939" s="88" t="str">
        <x:f>IF(C939="","",F939+G939+H939)</x:f>
      </x:c>
      <x:c r="K939" s="88" t="str">
        <x:f>IF(C939="","",MAX(0,SUMIFS(SONDERZAHLUNGEN!$E$9:$E$128,SONDERZAHLUNGEN!$B$9:$B$128,C939,SONDERZAHLUNGEN!$C$9:$C$128,A939,SONDERZAHLUNGEN!$H$9:$H$128,"OK",SONDERZAHLUNGEN!$F$9:$F$128,"Ja")-G939))</x:f>
      </x:c>
    </x:row>
    <x:row r="940" ht="19" customHeight="1">
      <x:c r="A940" s="90" t="n">
        <x:f>MONATSBUDGET!$A$54</x:f>
        <x:v>47635</x:v>
      </x:c>
      <x:c r="B940" t="n">
        <x:f>1</x:f>
        <x:v>1</x:v>
      </x:c>
      <x:c r="C940" t="str">
        <x:f>IF($N$9="","",$N$9)</x:f>
      </x:c>
      <x:c r="D940" s="88" t="str">
        <x:f>IF(C940="","",I920)</x:f>
      </x:c>
      <x:c r="E940" s="88" t="str">
        <x:f>IF(C940="","",ROUND(D940*$P$9/12,2))</x:f>
      </x:c>
      <x:c r="F940" s="88" t="str">
        <x:f>IF(C940="","",MIN(D940+E940,$Q$9))</x:f>
      </x:c>
      <x:c r="G940" s="88" t="str">
        <x:f>IF(C940="","",MIN(MAX(0,D940+E940-F940),SUMIFS(SONDERZAHLUNGEN!$E$9:$E$128,SONDERZAHLUNGEN!$B$9:$B$128,C940,SONDERZAHLUNGEN!$C$9:$C$128,A940,SONDERZAHLUNGEN!$H$9:$H$128,"OK",SONDERZAHLUNGEN!$F$9:$F$128,"Ja")))</x:f>
      </x:c>
      <x:c r="H940" s="88" t="str">
        <x:f>IF(C940="","",MIN(MAX(0,D940+E940-F940-G940),MAX(0,IF(MONATSBUDGET!$C$54="",0,MONATSBUDGET!$C$54)-SUM(F940:F959)-0)))</x:f>
      </x:c>
      <x:c r="I940" s="88" t="str">
        <x:f>IF(C940="","",MAX(0,ROUND(D940+E940-F940-G940-H940,2)))</x:f>
      </x:c>
      <x:c r="J940" s="88" t="str">
        <x:f>IF(C940="","",F940+G940+H940)</x:f>
      </x:c>
      <x:c r="K940" s="88" t="str">
        <x:f>IF(C940="","",MAX(0,SUMIFS(SONDERZAHLUNGEN!$E$9:$E$128,SONDERZAHLUNGEN!$B$9:$B$128,C940,SONDERZAHLUNGEN!$C$9:$C$128,A940,SONDERZAHLUNGEN!$H$9:$H$128,"OK",SONDERZAHLUNGEN!$F$9:$F$128,"Ja")-G940))</x:f>
      </x:c>
    </x:row>
    <x:row r="941" ht="19" customHeight="1">
      <x:c r="A941" s="90" t="n">
        <x:f>MONATSBUDGET!$A$54</x:f>
        <x:v>47635</x:v>
      </x:c>
      <x:c r="B941" t="n">
        <x:f>2</x:f>
        <x:v>2</x:v>
      </x:c>
      <x:c r="C941" t="str">
        <x:f>IF($N$10="","",$N$10)</x:f>
      </x:c>
      <x:c r="D941" s="88" t="str">
        <x:f>IF(C941="","",I921)</x:f>
      </x:c>
      <x:c r="E941" s="88" t="str">
        <x:f>IF(C941="","",ROUND(D941*$P$10/12,2))</x:f>
      </x:c>
      <x:c r="F941" s="88" t="str">
        <x:f>IF(C941="","",MIN(D941+E941,$Q$10))</x:f>
      </x:c>
      <x:c r="G941" s="88" t="str">
        <x:f>IF(C941="","",MIN(MAX(0,D941+E941-F941),SUMIFS(SONDERZAHLUNGEN!$E$9:$E$128,SONDERZAHLUNGEN!$B$9:$B$128,C941,SONDERZAHLUNGEN!$C$9:$C$128,A941,SONDERZAHLUNGEN!$H$9:$H$128,"OK",SONDERZAHLUNGEN!$F$9:$F$128,"Ja")))</x:f>
      </x:c>
      <x:c r="H941" s="88" t="str">
        <x:f>IF(C941="","",MIN(MAX(0,D941+E941-F941-G941),MAX(0,IF(MONATSBUDGET!$C$54="",0,MONATSBUDGET!$C$54)-SUM(F940:F959)-SUM(H940:H940))))</x:f>
      </x:c>
      <x:c r="I941" s="88" t="str">
        <x:f>IF(C941="","",MAX(0,ROUND(D941+E941-F941-G941-H941,2)))</x:f>
      </x:c>
      <x:c r="J941" s="88" t="str">
        <x:f>IF(C941="","",F941+G941+H941)</x:f>
      </x:c>
      <x:c r="K941" s="88" t="str">
        <x:f>IF(C941="","",MAX(0,SUMIFS(SONDERZAHLUNGEN!$E$9:$E$128,SONDERZAHLUNGEN!$B$9:$B$128,C941,SONDERZAHLUNGEN!$C$9:$C$128,A941,SONDERZAHLUNGEN!$H$9:$H$128,"OK",SONDERZAHLUNGEN!$F$9:$F$128,"Ja")-G941))</x:f>
      </x:c>
    </x:row>
    <x:row r="942" ht="19" customHeight="1">
      <x:c r="A942" s="90" t="n">
        <x:f>MONATSBUDGET!$A$54</x:f>
        <x:v>47635</x:v>
      </x:c>
      <x:c r="B942" t="n">
        <x:f>3</x:f>
        <x:v>3</x:v>
      </x:c>
      <x:c r="C942" t="str">
        <x:f>IF($N$11="","",$N$11)</x:f>
      </x:c>
      <x:c r="D942" s="88" t="str">
        <x:f>IF(C942="","",I922)</x:f>
      </x:c>
      <x:c r="E942" s="88" t="str">
        <x:f>IF(C942="","",ROUND(D942*$P$11/12,2))</x:f>
      </x:c>
      <x:c r="F942" s="88" t="str">
        <x:f>IF(C942="","",MIN(D942+E942,$Q$11))</x:f>
      </x:c>
      <x:c r="G942" s="88" t="str">
        <x:f>IF(C942="","",MIN(MAX(0,D942+E942-F942),SUMIFS(SONDERZAHLUNGEN!$E$9:$E$128,SONDERZAHLUNGEN!$B$9:$B$128,C942,SONDERZAHLUNGEN!$C$9:$C$128,A942,SONDERZAHLUNGEN!$H$9:$H$128,"OK",SONDERZAHLUNGEN!$F$9:$F$128,"Ja")))</x:f>
      </x:c>
      <x:c r="H942" s="88" t="str">
        <x:f>IF(C942="","",MIN(MAX(0,D942+E942-F942-G942),MAX(0,IF(MONATSBUDGET!$C$54="",0,MONATSBUDGET!$C$54)-SUM(F940:F959)-SUM(H940:H941))))</x:f>
      </x:c>
      <x:c r="I942" s="88" t="str">
        <x:f>IF(C942="","",MAX(0,ROUND(D942+E942-F942-G942-H942,2)))</x:f>
      </x:c>
      <x:c r="J942" s="88" t="str">
        <x:f>IF(C942="","",F942+G942+H942)</x:f>
      </x:c>
      <x:c r="K942" s="88" t="str">
        <x:f>IF(C942="","",MAX(0,SUMIFS(SONDERZAHLUNGEN!$E$9:$E$128,SONDERZAHLUNGEN!$B$9:$B$128,C942,SONDERZAHLUNGEN!$C$9:$C$128,A942,SONDERZAHLUNGEN!$H$9:$H$128,"OK",SONDERZAHLUNGEN!$F$9:$F$128,"Ja")-G942))</x:f>
      </x:c>
    </x:row>
    <x:row r="943" ht="19" customHeight="1">
      <x:c r="A943" s="90" t="n">
        <x:f>MONATSBUDGET!$A$54</x:f>
        <x:v>47635</x:v>
      </x:c>
      <x:c r="B943" t="n">
        <x:f>4</x:f>
        <x:v>4</x:v>
      </x:c>
      <x:c r="C943" t="str">
        <x:f>IF($N$12="","",$N$12)</x:f>
      </x:c>
      <x:c r="D943" s="88" t="str">
        <x:f>IF(C943="","",I923)</x:f>
      </x:c>
      <x:c r="E943" s="88" t="str">
        <x:f>IF(C943="","",ROUND(D943*$P$12/12,2))</x:f>
      </x:c>
      <x:c r="F943" s="88" t="str">
        <x:f>IF(C943="","",MIN(D943+E943,$Q$12))</x:f>
      </x:c>
      <x:c r="G943" s="88" t="str">
        <x:f>IF(C943="","",MIN(MAX(0,D943+E943-F943),SUMIFS(SONDERZAHLUNGEN!$E$9:$E$128,SONDERZAHLUNGEN!$B$9:$B$128,C943,SONDERZAHLUNGEN!$C$9:$C$128,A943,SONDERZAHLUNGEN!$H$9:$H$128,"OK",SONDERZAHLUNGEN!$F$9:$F$128,"Ja")))</x:f>
      </x:c>
      <x:c r="H943" s="88" t="str">
        <x:f>IF(C943="","",MIN(MAX(0,D943+E943-F943-G943),MAX(0,IF(MONATSBUDGET!$C$54="",0,MONATSBUDGET!$C$54)-SUM(F940:F959)-SUM(H940:H942))))</x:f>
      </x:c>
      <x:c r="I943" s="88" t="str">
        <x:f>IF(C943="","",MAX(0,ROUND(D943+E943-F943-G943-H943,2)))</x:f>
      </x:c>
      <x:c r="J943" s="88" t="str">
        <x:f>IF(C943="","",F943+G943+H943)</x:f>
      </x:c>
      <x:c r="K943" s="88" t="str">
        <x:f>IF(C943="","",MAX(0,SUMIFS(SONDERZAHLUNGEN!$E$9:$E$128,SONDERZAHLUNGEN!$B$9:$B$128,C943,SONDERZAHLUNGEN!$C$9:$C$128,A943,SONDERZAHLUNGEN!$H$9:$H$128,"OK",SONDERZAHLUNGEN!$F$9:$F$128,"Ja")-G943))</x:f>
      </x:c>
    </x:row>
    <x:row r="944" ht="19" customHeight="1">
      <x:c r="A944" s="90" t="n">
        <x:f>MONATSBUDGET!$A$54</x:f>
        <x:v>47635</x:v>
      </x:c>
      <x:c r="B944" t="n">
        <x:f>5</x:f>
        <x:v>5</x:v>
      </x:c>
      <x:c r="C944" t="str">
        <x:f>IF($N$13="","",$N$13)</x:f>
      </x:c>
      <x:c r="D944" s="88" t="str">
        <x:f>IF(C944="","",I924)</x:f>
      </x:c>
      <x:c r="E944" s="88" t="str">
        <x:f>IF(C944="","",ROUND(D944*$P$13/12,2))</x:f>
      </x:c>
      <x:c r="F944" s="88" t="str">
        <x:f>IF(C944="","",MIN(D944+E944,$Q$13))</x:f>
      </x:c>
      <x:c r="G944" s="88" t="str">
        <x:f>IF(C944="","",MIN(MAX(0,D944+E944-F944),SUMIFS(SONDERZAHLUNGEN!$E$9:$E$128,SONDERZAHLUNGEN!$B$9:$B$128,C944,SONDERZAHLUNGEN!$C$9:$C$128,A944,SONDERZAHLUNGEN!$H$9:$H$128,"OK",SONDERZAHLUNGEN!$F$9:$F$128,"Ja")))</x:f>
      </x:c>
      <x:c r="H944" s="88" t="str">
        <x:f>IF(C944="","",MIN(MAX(0,D944+E944-F944-G944),MAX(0,IF(MONATSBUDGET!$C$54="",0,MONATSBUDGET!$C$54)-SUM(F940:F959)-SUM(H940:H943))))</x:f>
      </x:c>
      <x:c r="I944" s="88" t="str">
        <x:f>IF(C944="","",MAX(0,ROUND(D944+E944-F944-G944-H944,2)))</x:f>
      </x:c>
      <x:c r="J944" s="88" t="str">
        <x:f>IF(C944="","",F944+G944+H944)</x:f>
      </x:c>
      <x:c r="K944" s="88" t="str">
        <x:f>IF(C944="","",MAX(0,SUMIFS(SONDERZAHLUNGEN!$E$9:$E$128,SONDERZAHLUNGEN!$B$9:$B$128,C944,SONDERZAHLUNGEN!$C$9:$C$128,A944,SONDERZAHLUNGEN!$H$9:$H$128,"OK",SONDERZAHLUNGEN!$F$9:$F$128,"Ja")-G944))</x:f>
      </x:c>
    </x:row>
    <x:row r="945" ht="19" customHeight="1">
      <x:c r="A945" s="90" t="n">
        <x:f>MONATSBUDGET!$A$54</x:f>
        <x:v>47635</x:v>
      </x:c>
      <x:c r="B945" t="n">
        <x:f>6</x:f>
        <x:v>6</x:v>
      </x:c>
      <x:c r="C945" t="str">
        <x:f>IF($N$14="","",$N$14)</x:f>
      </x:c>
      <x:c r="D945" s="88" t="str">
        <x:f>IF(C945="","",I925)</x:f>
      </x:c>
      <x:c r="E945" s="88" t="str">
        <x:f>IF(C945="","",ROUND(D945*$P$14/12,2))</x:f>
      </x:c>
      <x:c r="F945" s="88" t="str">
        <x:f>IF(C945="","",MIN(D945+E945,$Q$14))</x:f>
      </x:c>
      <x:c r="G945" s="88" t="str">
        <x:f>IF(C945="","",MIN(MAX(0,D945+E945-F945),SUMIFS(SONDERZAHLUNGEN!$E$9:$E$128,SONDERZAHLUNGEN!$B$9:$B$128,C945,SONDERZAHLUNGEN!$C$9:$C$128,A945,SONDERZAHLUNGEN!$H$9:$H$128,"OK",SONDERZAHLUNGEN!$F$9:$F$128,"Ja")))</x:f>
      </x:c>
      <x:c r="H945" s="88" t="str">
        <x:f>IF(C945="","",MIN(MAX(0,D945+E945-F945-G945),MAX(0,IF(MONATSBUDGET!$C$54="",0,MONATSBUDGET!$C$54)-SUM(F940:F959)-SUM(H940:H944))))</x:f>
      </x:c>
      <x:c r="I945" s="88" t="str">
        <x:f>IF(C945="","",MAX(0,ROUND(D945+E945-F945-G945-H945,2)))</x:f>
      </x:c>
      <x:c r="J945" s="88" t="str">
        <x:f>IF(C945="","",F945+G945+H945)</x:f>
      </x:c>
      <x:c r="K945" s="88" t="str">
        <x:f>IF(C945="","",MAX(0,SUMIFS(SONDERZAHLUNGEN!$E$9:$E$128,SONDERZAHLUNGEN!$B$9:$B$128,C945,SONDERZAHLUNGEN!$C$9:$C$128,A945,SONDERZAHLUNGEN!$H$9:$H$128,"OK",SONDERZAHLUNGEN!$F$9:$F$128,"Ja")-G945))</x:f>
      </x:c>
    </x:row>
    <x:row r="946" ht="19" customHeight="1">
      <x:c r="A946" s="90" t="n">
        <x:f>MONATSBUDGET!$A$54</x:f>
        <x:v>47635</x:v>
      </x:c>
      <x:c r="B946" t="n">
        <x:f>7</x:f>
        <x:v>7</x:v>
      </x:c>
      <x:c r="C946" t="str">
        <x:f>IF($N$15="","",$N$15)</x:f>
      </x:c>
      <x:c r="D946" s="88" t="str">
        <x:f>IF(C946="","",I926)</x:f>
      </x:c>
      <x:c r="E946" s="88" t="str">
        <x:f>IF(C946="","",ROUND(D946*$P$15/12,2))</x:f>
      </x:c>
      <x:c r="F946" s="88" t="str">
        <x:f>IF(C946="","",MIN(D946+E946,$Q$15))</x:f>
      </x:c>
      <x:c r="G946" s="88" t="str">
        <x:f>IF(C946="","",MIN(MAX(0,D946+E946-F946),SUMIFS(SONDERZAHLUNGEN!$E$9:$E$128,SONDERZAHLUNGEN!$B$9:$B$128,C946,SONDERZAHLUNGEN!$C$9:$C$128,A946,SONDERZAHLUNGEN!$H$9:$H$128,"OK",SONDERZAHLUNGEN!$F$9:$F$128,"Ja")))</x:f>
      </x:c>
      <x:c r="H946" s="88" t="str">
        <x:f>IF(C946="","",MIN(MAX(0,D946+E946-F946-G946),MAX(0,IF(MONATSBUDGET!$C$54="",0,MONATSBUDGET!$C$54)-SUM(F940:F959)-SUM(H940:H945))))</x:f>
      </x:c>
      <x:c r="I946" s="88" t="str">
        <x:f>IF(C946="","",MAX(0,ROUND(D946+E946-F946-G946-H946,2)))</x:f>
      </x:c>
      <x:c r="J946" s="88" t="str">
        <x:f>IF(C946="","",F946+G946+H946)</x:f>
      </x:c>
      <x:c r="K946" s="88" t="str">
        <x:f>IF(C946="","",MAX(0,SUMIFS(SONDERZAHLUNGEN!$E$9:$E$128,SONDERZAHLUNGEN!$B$9:$B$128,C946,SONDERZAHLUNGEN!$C$9:$C$128,A946,SONDERZAHLUNGEN!$H$9:$H$128,"OK",SONDERZAHLUNGEN!$F$9:$F$128,"Ja")-G946))</x:f>
      </x:c>
    </x:row>
    <x:row r="947" ht="19" customHeight="1">
      <x:c r="A947" s="90" t="n">
        <x:f>MONATSBUDGET!$A$54</x:f>
        <x:v>47635</x:v>
      </x:c>
      <x:c r="B947" t="n">
        <x:f>8</x:f>
        <x:v>8</x:v>
      </x:c>
      <x:c r="C947" t="str">
        <x:f>IF($N$16="","",$N$16)</x:f>
      </x:c>
      <x:c r="D947" s="88" t="str">
        <x:f>IF(C947="","",I927)</x:f>
      </x:c>
      <x:c r="E947" s="88" t="str">
        <x:f>IF(C947="","",ROUND(D947*$P$16/12,2))</x:f>
      </x:c>
      <x:c r="F947" s="88" t="str">
        <x:f>IF(C947="","",MIN(D947+E947,$Q$16))</x:f>
      </x:c>
      <x:c r="G947" s="88" t="str">
        <x:f>IF(C947="","",MIN(MAX(0,D947+E947-F947),SUMIFS(SONDERZAHLUNGEN!$E$9:$E$128,SONDERZAHLUNGEN!$B$9:$B$128,C947,SONDERZAHLUNGEN!$C$9:$C$128,A947,SONDERZAHLUNGEN!$H$9:$H$128,"OK",SONDERZAHLUNGEN!$F$9:$F$128,"Ja")))</x:f>
      </x:c>
      <x:c r="H947" s="88" t="str">
        <x:f>IF(C947="","",MIN(MAX(0,D947+E947-F947-G947),MAX(0,IF(MONATSBUDGET!$C$54="",0,MONATSBUDGET!$C$54)-SUM(F940:F959)-SUM(H940:H946))))</x:f>
      </x:c>
      <x:c r="I947" s="88" t="str">
        <x:f>IF(C947="","",MAX(0,ROUND(D947+E947-F947-G947-H947,2)))</x:f>
      </x:c>
      <x:c r="J947" s="88" t="str">
        <x:f>IF(C947="","",F947+G947+H947)</x:f>
      </x:c>
      <x:c r="K947" s="88" t="str">
        <x:f>IF(C947="","",MAX(0,SUMIFS(SONDERZAHLUNGEN!$E$9:$E$128,SONDERZAHLUNGEN!$B$9:$B$128,C947,SONDERZAHLUNGEN!$C$9:$C$128,A947,SONDERZAHLUNGEN!$H$9:$H$128,"OK",SONDERZAHLUNGEN!$F$9:$F$128,"Ja")-G947))</x:f>
      </x:c>
    </x:row>
    <x:row r="948" ht="19" customHeight="1">
      <x:c r="A948" s="90" t="n">
        <x:f>MONATSBUDGET!$A$54</x:f>
        <x:v>47635</x:v>
      </x:c>
      <x:c r="B948" t="n">
        <x:f>9</x:f>
        <x:v>9</x:v>
      </x:c>
      <x:c r="C948" t="str">
        <x:f>IF($N$17="","",$N$17)</x:f>
      </x:c>
      <x:c r="D948" s="88" t="str">
        <x:f>IF(C948="","",I928)</x:f>
      </x:c>
      <x:c r="E948" s="88" t="str">
        <x:f>IF(C948="","",ROUND(D948*$P$17/12,2))</x:f>
      </x:c>
      <x:c r="F948" s="88" t="str">
        <x:f>IF(C948="","",MIN(D948+E948,$Q$17))</x:f>
      </x:c>
      <x:c r="G948" s="88" t="str">
        <x:f>IF(C948="","",MIN(MAX(0,D948+E948-F948),SUMIFS(SONDERZAHLUNGEN!$E$9:$E$128,SONDERZAHLUNGEN!$B$9:$B$128,C948,SONDERZAHLUNGEN!$C$9:$C$128,A948,SONDERZAHLUNGEN!$H$9:$H$128,"OK",SONDERZAHLUNGEN!$F$9:$F$128,"Ja")))</x:f>
      </x:c>
      <x:c r="H948" s="88" t="str">
        <x:f>IF(C948="","",MIN(MAX(0,D948+E948-F948-G948),MAX(0,IF(MONATSBUDGET!$C$54="",0,MONATSBUDGET!$C$54)-SUM(F940:F959)-SUM(H940:H947))))</x:f>
      </x:c>
      <x:c r="I948" s="88" t="str">
        <x:f>IF(C948="","",MAX(0,ROUND(D948+E948-F948-G948-H948,2)))</x:f>
      </x:c>
      <x:c r="J948" s="88" t="str">
        <x:f>IF(C948="","",F948+G948+H948)</x:f>
      </x:c>
      <x:c r="K948" s="88" t="str">
        <x:f>IF(C948="","",MAX(0,SUMIFS(SONDERZAHLUNGEN!$E$9:$E$128,SONDERZAHLUNGEN!$B$9:$B$128,C948,SONDERZAHLUNGEN!$C$9:$C$128,A948,SONDERZAHLUNGEN!$H$9:$H$128,"OK",SONDERZAHLUNGEN!$F$9:$F$128,"Ja")-G948))</x:f>
      </x:c>
    </x:row>
    <x:row r="949" ht="19" customHeight="1">
      <x:c r="A949" s="90" t="n">
        <x:f>MONATSBUDGET!$A$54</x:f>
        <x:v>47635</x:v>
      </x:c>
      <x:c r="B949" t="n">
        <x:f>10</x:f>
        <x:v>10</x:v>
      </x:c>
      <x:c r="C949" t="str">
        <x:f>IF($N$18="","",$N$18)</x:f>
      </x:c>
      <x:c r="D949" s="88" t="str">
        <x:f>IF(C949="","",I929)</x:f>
      </x:c>
      <x:c r="E949" s="88" t="str">
        <x:f>IF(C949="","",ROUND(D949*$P$18/12,2))</x:f>
      </x:c>
      <x:c r="F949" s="88" t="str">
        <x:f>IF(C949="","",MIN(D949+E949,$Q$18))</x:f>
      </x:c>
      <x:c r="G949" s="88" t="str">
        <x:f>IF(C949="","",MIN(MAX(0,D949+E949-F949),SUMIFS(SONDERZAHLUNGEN!$E$9:$E$128,SONDERZAHLUNGEN!$B$9:$B$128,C949,SONDERZAHLUNGEN!$C$9:$C$128,A949,SONDERZAHLUNGEN!$H$9:$H$128,"OK",SONDERZAHLUNGEN!$F$9:$F$128,"Ja")))</x:f>
      </x:c>
      <x:c r="H949" s="88" t="str">
        <x:f>IF(C949="","",MIN(MAX(0,D949+E949-F949-G949),MAX(0,IF(MONATSBUDGET!$C$54="",0,MONATSBUDGET!$C$54)-SUM(F940:F959)-SUM(H940:H948))))</x:f>
      </x:c>
      <x:c r="I949" s="88" t="str">
        <x:f>IF(C949="","",MAX(0,ROUND(D949+E949-F949-G949-H949,2)))</x:f>
      </x:c>
      <x:c r="J949" s="88" t="str">
        <x:f>IF(C949="","",F949+G949+H949)</x:f>
      </x:c>
      <x:c r="K949" s="88" t="str">
        <x:f>IF(C949="","",MAX(0,SUMIFS(SONDERZAHLUNGEN!$E$9:$E$128,SONDERZAHLUNGEN!$B$9:$B$128,C949,SONDERZAHLUNGEN!$C$9:$C$128,A949,SONDERZAHLUNGEN!$H$9:$H$128,"OK",SONDERZAHLUNGEN!$F$9:$F$128,"Ja")-G949))</x:f>
      </x:c>
    </x:row>
    <x:row r="950" ht="19" customHeight="1">
      <x:c r="A950" s="90" t="n">
        <x:f>MONATSBUDGET!$A$54</x:f>
        <x:v>47635</x:v>
      </x:c>
      <x:c r="B950" t="n">
        <x:f>11</x:f>
        <x:v>11</x:v>
      </x:c>
      <x:c r="C950" t="str">
        <x:f>IF($N$19="","",$N$19)</x:f>
      </x:c>
      <x:c r="D950" s="88" t="str">
        <x:f>IF(C950="","",I930)</x:f>
      </x:c>
      <x:c r="E950" s="88" t="str">
        <x:f>IF(C950="","",ROUND(D950*$P$19/12,2))</x:f>
      </x:c>
      <x:c r="F950" s="88" t="str">
        <x:f>IF(C950="","",MIN(D950+E950,$Q$19))</x:f>
      </x:c>
      <x:c r="G950" s="88" t="str">
        <x:f>IF(C950="","",MIN(MAX(0,D950+E950-F950),SUMIFS(SONDERZAHLUNGEN!$E$9:$E$128,SONDERZAHLUNGEN!$B$9:$B$128,C950,SONDERZAHLUNGEN!$C$9:$C$128,A950,SONDERZAHLUNGEN!$H$9:$H$128,"OK",SONDERZAHLUNGEN!$F$9:$F$128,"Ja")))</x:f>
      </x:c>
      <x:c r="H950" s="88" t="str">
        <x:f>IF(C950="","",MIN(MAX(0,D950+E950-F950-G950),MAX(0,IF(MONATSBUDGET!$C$54="",0,MONATSBUDGET!$C$54)-SUM(F940:F959)-SUM(H940:H949))))</x:f>
      </x:c>
      <x:c r="I950" s="88" t="str">
        <x:f>IF(C950="","",MAX(0,ROUND(D950+E950-F950-G950-H950,2)))</x:f>
      </x:c>
      <x:c r="J950" s="88" t="str">
        <x:f>IF(C950="","",F950+G950+H950)</x:f>
      </x:c>
      <x:c r="K950" s="88" t="str">
        <x:f>IF(C950="","",MAX(0,SUMIFS(SONDERZAHLUNGEN!$E$9:$E$128,SONDERZAHLUNGEN!$B$9:$B$128,C950,SONDERZAHLUNGEN!$C$9:$C$128,A950,SONDERZAHLUNGEN!$H$9:$H$128,"OK",SONDERZAHLUNGEN!$F$9:$F$128,"Ja")-G950))</x:f>
      </x:c>
    </x:row>
    <x:row r="951" ht="19" customHeight="1">
      <x:c r="A951" s="90" t="n">
        <x:f>MONATSBUDGET!$A$54</x:f>
        <x:v>47635</x:v>
      </x:c>
      <x:c r="B951" t="n">
        <x:f>12</x:f>
        <x:v>12</x:v>
      </x:c>
      <x:c r="C951" t="str">
        <x:f>IF($N$20="","",$N$20)</x:f>
      </x:c>
      <x:c r="D951" s="88" t="str">
        <x:f>IF(C951="","",I931)</x:f>
      </x:c>
      <x:c r="E951" s="88" t="str">
        <x:f>IF(C951="","",ROUND(D951*$P$20/12,2))</x:f>
      </x:c>
      <x:c r="F951" s="88" t="str">
        <x:f>IF(C951="","",MIN(D951+E951,$Q$20))</x:f>
      </x:c>
      <x:c r="G951" s="88" t="str">
        <x:f>IF(C951="","",MIN(MAX(0,D951+E951-F951),SUMIFS(SONDERZAHLUNGEN!$E$9:$E$128,SONDERZAHLUNGEN!$B$9:$B$128,C951,SONDERZAHLUNGEN!$C$9:$C$128,A951,SONDERZAHLUNGEN!$H$9:$H$128,"OK",SONDERZAHLUNGEN!$F$9:$F$128,"Ja")))</x:f>
      </x:c>
      <x:c r="H951" s="88" t="str">
        <x:f>IF(C951="","",MIN(MAX(0,D951+E951-F951-G951),MAX(0,IF(MONATSBUDGET!$C$54="",0,MONATSBUDGET!$C$54)-SUM(F940:F959)-SUM(H940:H950))))</x:f>
      </x:c>
      <x:c r="I951" s="88" t="str">
        <x:f>IF(C951="","",MAX(0,ROUND(D951+E951-F951-G951-H951,2)))</x:f>
      </x:c>
      <x:c r="J951" s="88" t="str">
        <x:f>IF(C951="","",F951+G951+H951)</x:f>
      </x:c>
      <x:c r="K951" s="88" t="str">
        <x:f>IF(C951="","",MAX(0,SUMIFS(SONDERZAHLUNGEN!$E$9:$E$128,SONDERZAHLUNGEN!$B$9:$B$128,C951,SONDERZAHLUNGEN!$C$9:$C$128,A951,SONDERZAHLUNGEN!$H$9:$H$128,"OK",SONDERZAHLUNGEN!$F$9:$F$128,"Ja")-G951))</x:f>
      </x:c>
    </x:row>
    <x:row r="952" ht="19" customHeight="1">
      <x:c r="A952" s="90" t="n">
        <x:f>MONATSBUDGET!$A$54</x:f>
        <x:v>47635</x:v>
      </x:c>
      <x:c r="B952" t="n">
        <x:f>13</x:f>
        <x:v>13</x:v>
      </x:c>
      <x:c r="C952" t="str">
        <x:f>IF($N$21="","",$N$21)</x:f>
      </x:c>
      <x:c r="D952" s="88" t="str">
        <x:f>IF(C952="","",I932)</x:f>
      </x:c>
      <x:c r="E952" s="88" t="str">
        <x:f>IF(C952="","",ROUND(D952*$P$21/12,2))</x:f>
      </x:c>
      <x:c r="F952" s="88" t="str">
        <x:f>IF(C952="","",MIN(D952+E952,$Q$21))</x:f>
      </x:c>
      <x:c r="G952" s="88" t="str">
        <x:f>IF(C952="","",MIN(MAX(0,D952+E952-F952),SUMIFS(SONDERZAHLUNGEN!$E$9:$E$128,SONDERZAHLUNGEN!$B$9:$B$128,C952,SONDERZAHLUNGEN!$C$9:$C$128,A952,SONDERZAHLUNGEN!$H$9:$H$128,"OK",SONDERZAHLUNGEN!$F$9:$F$128,"Ja")))</x:f>
      </x:c>
      <x:c r="H952" s="88" t="str">
        <x:f>IF(C952="","",MIN(MAX(0,D952+E952-F952-G952),MAX(0,IF(MONATSBUDGET!$C$54="",0,MONATSBUDGET!$C$54)-SUM(F940:F959)-SUM(H940:H951))))</x:f>
      </x:c>
      <x:c r="I952" s="88" t="str">
        <x:f>IF(C952="","",MAX(0,ROUND(D952+E952-F952-G952-H952,2)))</x:f>
      </x:c>
      <x:c r="J952" s="88" t="str">
        <x:f>IF(C952="","",F952+G952+H952)</x:f>
      </x:c>
      <x:c r="K952" s="88" t="str">
        <x:f>IF(C952="","",MAX(0,SUMIFS(SONDERZAHLUNGEN!$E$9:$E$128,SONDERZAHLUNGEN!$B$9:$B$128,C952,SONDERZAHLUNGEN!$C$9:$C$128,A952,SONDERZAHLUNGEN!$H$9:$H$128,"OK",SONDERZAHLUNGEN!$F$9:$F$128,"Ja")-G952))</x:f>
      </x:c>
    </x:row>
    <x:row r="953" ht="19" customHeight="1">
      <x:c r="A953" s="90" t="n">
        <x:f>MONATSBUDGET!$A$54</x:f>
        <x:v>47635</x:v>
      </x:c>
      <x:c r="B953" t="n">
        <x:f>14</x:f>
        <x:v>14</x:v>
      </x:c>
      <x:c r="C953" t="str">
        <x:f>IF($N$22="","",$N$22)</x:f>
      </x:c>
      <x:c r="D953" s="88" t="str">
        <x:f>IF(C953="","",I933)</x:f>
      </x:c>
      <x:c r="E953" s="88" t="str">
        <x:f>IF(C953="","",ROUND(D953*$P$22/12,2))</x:f>
      </x:c>
      <x:c r="F953" s="88" t="str">
        <x:f>IF(C953="","",MIN(D953+E953,$Q$22))</x:f>
      </x:c>
      <x:c r="G953" s="88" t="str">
        <x:f>IF(C953="","",MIN(MAX(0,D953+E953-F953),SUMIFS(SONDERZAHLUNGEN!$E$9:$E$128,SONDERZAHLUNGEN!$B$9:$B$128,C953,SONDERZAHLUNGEN!$C$9:$C$128,A953,SONDERZAHLUNGEN!$H$9:$H$128,"OK",SONDERZAHLUNGEN!$F$9:$F$128,"Ja")))</x:f>
      </x:c>
      <x:c r="H953" s="88" t="str">
        <x:f>IF(C953="","",MIN(MAX(0,D953+E953-F953-G953),MAX(0,IF(MONATSBUDGET!$C$54="",0,MONATSBUDGET!$C$54)-SUM(F940:F959)-SUM(H940:H952))))</x:f>
      </x:c>
      <x:c r="I953" s="88" t="str">
        <x:f>IF(C953="","",MAX(0,ROUND(D953+E953-F953-G953-H953,2)))</x:f>
      </x:c>
      <x:c r="J953" s="88" t="str">
        <x:f>IF(C953="","",F953+G953+H953)</x:f>
      </x:c>
      <x:c r="K953" s="88" t="str">
        <x:f>IF(C953="","",MAX(0,SUMIFS(SONDERZAHLUNGEN!$E$9:$E$128,SONDERZAHLUNGEN!$B$9:$B$128,C953,SONDERZAHLUNGEN!$C$9:$C$128,A953,SONDERZAHLUNGEN!$H$9:$H$128,"OK",SONDERZAHLUNGEN!$F$9:$F$128,"Ja")-G953))</x:f>
      </x:c>
    </x:row>
    <x:row r="954" ht="19" customHeight="1">
      <x:c r="A954" s="90" t="n">
        <x:f>MONATSBUDGET!$A$54</x:f>
        <x:v>47635</x:v>
      </x:c>
      <x:c r="B954" t="n">
        <x:f>15</x:f>
        <x:v>15</x:v>
      </x:c>
      <x:c r="C954" t="str">
        <x:f>IF($N$23="","",$N$23)</x:f>
      </x:c>
      <x:c r="D954" s="88" t="str">
        <x:f>IF(C954="","",I934)</x:f>
      </x:c>
      <x:c r="E954" s="88" t="str">
        <x:f>IF(C954="","",ROUND(D954*$P$23/12,2))</x:f>
      </x:c>
      <x:c r="F954" s="88" t="str">
        <x:f>IF(C954="","",MIN(D954+E954,$Q$23))</x:f>
      </x:c>
      <x:c r="G954" s="88" t="str">
        <x:f>IF(C954="","",MIN(MAX(0,D954+E954-F954),SUMIFS(SONDERZAHLUNGEN!$E$9:$E$128,SONDERZAHLUNGEN!$B$9:$B$128,C954,SONDERZAHLUNGEN!$C$9:$C$128,A954,SONDERZAHLUNGEN!$H$9:$H$128,"OK",SONDERZAHLUNGEN!$F$9:$F$128,"Ja")))</x:f>
      </x:c>
      <x:c r="H954" s="88" t="str">
        <x:f>IF(C954="","",MIN(MAX(0,D954+E954-F954-G954),MAX(0,IF(MONATSBUDGET!$C$54="",0,MONATSBUDGET!$C$54)-SUM(F940:F959)-SUM(H940:H953))))</x:f>
      </x:c>
      <x:c r="I954" s="88" t="str">
        <x:f>IF(C954="","",MAX(0,ROUND(D954+E954-F954-G954-H954,2)))</x:f>
      </x:c>
      <x:c r="J954" s="88" t="str">
        <x:f>IF(C954="","",F954+G954+H954)</x:f>
      </x:c>
      <x:c r="K954" s="88" t="str">
        <x:f>IF(C954="","",MAX(0,SUMIFS(SONDERZAHLUNGEN!$E$9:$E$128,SONDERZAHLUNGEN!$B$9:$B$128,C954,SONDERZAHLUNGEN!$C$9:$C$128,A954,SONDERZAHLUNGEN!$H$9:$H$128,"OK",SONDERZAHLUNGEN!$F$9:$F$128,"Ja")-G954))</x:f>
      </x:c>
    </x:row>
    <x:row r="955" ht="19" customHeight="1">
      <x:c r="A955" s="90" t="n">
        <x:f>MONATSBUDGET!$A$54</x:f>
        <x:v>47635</x:v>
      </x:c>
      <x:c r="B955" t="n">
        <x:f>16</x:f>
        <x:v>16</x:v>
      </x:c>
      <x:c r="C955" t="str">
        <x:f>IF($N$24="","",$N$24)</x:f>
      </x:c>
      <x:c r="D955" s="88" t="str">
        <x:f>IF(C955="","",I935)</x:f>
      </x:c>
      <x:c r="E955" s="88" t="str">
        <x:f>IF(C955="","",ROUND(D955*$P$24/12,2))</x:f>
      </x:c>
      <x:c r="F955" s="88" t="str">
        <x:f>IF(C955="","",MIN(D955+E955,$Q$24))</x:f>
      </x:c>
      <x:c r="G955" s="88" t="str">
        <x:f>IF(C955="","",MIN(MAX(0,D955+E955-F955),SUMIFS(SONDERZAHLUNGEN!$E$9:$E$128,SONDERZAHLUNGEN!$B$9:$B$128,C955,SONDERZAHLUNGEN!$C$9:$C$128,A955,SONDERZAHLUNGEN!$H$9:$H$128,"OK",SONDERZAHLUNGEN!$F$9:$F$128,"Ja")))</x:f>
      </x:c>
      <x:c r="H955" s="88" t="str">
        <x:f>IF(C955="","",MIN(MAX(0,D955+E955-F955-G955),MAX(0,IF(MONATSBUDGET!$C$54="",0,MONATSBUDGET!$C$54)-SUM(F940:F959)-SUM(H940:H954))))</x:f>
      </x:c>
      <x:c r="I955" s="88" t="str">
        <x:f>IF(C955="","",MAX(0,ROUND(D955+E955-F955-G955-H955,2)))</x:f>
      </x:c>
      <x:c r="J955" s="88" t="str">
        <x:f>IF(C955="","",F955+G955+H955)</x:f>
      </x:c>
      <x:c r="K955" s="88" t="str">
        <x:f>IF(C955="","",MAX(0,SUMIFS(SONDERZAHLUNGEN!$E$9:$E$128,SONDERZAHLUNGEN!$B$9:$B$128,C955,SONDERZAHLUNGEN!$C$9:$C$128,A955,SONDERZAHLUNGEN!$H$9:$H$128,"OK",SONDERZAHLUNGEN!$F$9:$F$128,"Ja")-G955))</x:f>
      </x:c>
    </x:row>
    <x:row r="956" ht="19" customHeight="1">
      <x:c r="A956" s="90" t="n">
        <x:f>MONATSBUDGET!$A$54</x:f>
        <x:v>47635</x:v>
      </x:c>
      <x:c r="B956" t="n">
        <x:f>17</x:f>
        <x:v>17</x:v>
      </x:c>
      <x:c r="C956" t="str">
        <x:f>IF($N$25="","",$N$25)</x:f>
      </x:c>
      <x:c r="D956" s="88" t="str">
        <x:f>IF(C956="","",I936)</x:f>
      </x:c>
      <x:c r="E956" s="88" t="str">
        <x:f>IF(C956="","",ROUND(D956*$P$25/12,2))</x:f>
      </x:c>
      <x:c r="F956" s="88" t="str">
        <x:f>IF(C956="","",MIN(D956+E956,$Q$25))</x:f>
      </x:c>
      <x:c r="G956" s="88" t="str">
        <x:f>IF(C956="","",MIN(MAX(0,D956+E956-F956),SUMIFS(SONDERZAHLUNGEN!$E$9:$E$128,SONDERZAHLUNGEN!$B$9:$B$128,C956,SONDERZAHLUNGEN!$C$9:$C$128,A956,SONDERZAHLUNGEN!$H$9:$H$128,"OK",SONDERZAHLUNGEN!$F$9:$F$128,"Ja")))</x:f>
      </x:c>
      <x:c r="H956" s="88" t="str">
        <x:f>IF(C956="","",MIN(MAX(0,D956+E956-F956-G956),MAX(0,IF(MONATSBUDGET!$C$54="",0,MONATSBUDGET!$C$54)-SUM(F940:F959)-SUM(H940:H955))))</x:f>
      </x:c>
      <x:c r="I956" s="88" t="str">
        <x:f>IF(C956="","",MAX(0,ROUND(D956+E956-F956-G956-H956,2)))</x:f>
      </x:c>
      <x:c r="J956" s="88" t="str">
        <x:f>IF(C956="","",F956+G956+H956)</x:f>
      </x:c>
      <x:c r="K956" s="88" t="str">
        <x:f>IF(C956="","",MAX(0,SUMIFS(SONDERZAHLUNGEN!$E$9:$E$128,SONDERZAHLUNGEN!$B$9:$B$128,C956,SONDERZAHLUNGEN!$C$9:$C$128,A956,SONDERZAHLUNGEN!$H$9:$H$128,"OK",SONDERZAHLUNGEN!$F$9:$F$128,"Ja")-G956))</x:f>
      </x:c>
    </x:row>
    <x:row r="957" ht="19" customHeight="1">
      <x:c r="A957" s="90" t="n">
        <x:f>MONATSBUDGET!$A$54</x:f>
        <x:v>47635</x:v>
      </x:c>
      <x:c r="B957" t="n">
        <x:f>18</x:f>
        <x:v>18</x:v>
      </x:c>
      <x:c r="C957" t="str">
        <x:f>IF($N$26="","",$N$26)</x:f>
      </x:c>
      <x:c r="D957" s="88" t="str">
        <x:f>IF(C957="","",I937)</x:f>
      </x:c>
      <x:c r="E957" s="88" t="str">
        <x:f>IF(C957="","",ROUND(D957*$P$26/12,2))</x:f>
      </x:c>
      <x:c r="F957" s="88" t="str">
        <x:f>IF(C957="","",MIN(D957+E957,$Q$26))</x:f>
      </x:c>
      <x:c r="G957" s="88" t="str">
        <x:f>IF(C957="","",MIN(MAX(0,D957+E957-F957),SUMIFS(SONDERZAHLUNGEN!$E$9:$E$128,SONDERZAHLUNGEN!$B$9:$B$128,C957,SONDERZAHLUNGEN!$C$9:$C$128,A957,SONDERZAHLUNGEN!$H$9:$H$128,"OK",SONDERZAHLUNGEN!$F$9:$F$128,"Ja")))</x:f>
      </x:c>
      <x:c r="H957" s="88" t="str">
        <x:f>IF(C957="","",MIN(MAX(0,D957+E957-F957-G957),MAX(0,IF(MONATSBUDGET!$C$54="",0,MONATSBUDGET!$C$54)-SUM(F940:F959)-SUM(H940:H956))))</x:f>
      </x:c>
      <x:c r="I957" s="88" t="str">
        <x:f>IF(C957="","",MAX(0,ROUND(D957+E957-F957-G957-H957,2)))</x:f>
      </x:c>
      <x:c r="J957" s="88" t="str">
        <x:f>IF(C957="","",F957+G957+H957)</x:f>
      </x:c>
      <x:c r="K957" s="88" t="str">
        <x:f>IF(C957="","",MAX(0,SUMIFS(SONDERZAHLUNGEN!$E$9:$E$128,SONDERZAHLUNGEN!$B$9:$B$128,C957,SONDERZAHLUNGEN!$C$9:$C$128,A957,SONDERZAHLUNGEN!$H$9:$H$128,"OK",SONDERZAHLUNGEN!$F$9:$F$128,"Ja")-G957))</x:f>
      </x:c>
    </x:row>
    <x:row r="958" ht="19" customHeight="1">
      <x:c r="A958" s="90" t="n">
        <x:f>MONATSBUDGET!$A$54</x:f>
        <x:v>47635</x:v>
      </x:c>
      <x:c r="B958" t="n">
        <x:f>19</x:f>
        <x:v>19</x:v>
      </x:c>
      <x:c r="C958" t="str">
        <x:f>IF($N$27="","",$N$27)</x:f>
      </x:c>
      <x:c r="D958" s="88" t="str">
        <x:f>IF(C958="","",I938)</x:f>
      </x:c>
      <x:c r="E958" s="88" t="str">
        <x:f>IF(C958="","",ROUND(D958*$P$27/12,2))</x:f>
      </x:c>
      <x:c r="F958" s="88" t="str">
        <x:f>IF(C958="","",MIN(D958+E958,$Q$27))</x:f>
      </x:c>
      <x:c r="G958" s="88" t="str">
        <x:f>IF(C958="","",MIN(MAX(0,D958+E958-F958),SUMIFS(SONDERZAHLUNGEN!$E$9:$E$128,SONDERZAHLUNGEN!$B$9:$B$128,C958,SONDERZAHLUNGEN!$C$9:$C$128,A958,SONDERZAHLUNGEN!$H$9:$H$128,"OK",SONDERZAHLUNGEN!$F$9:$F$128,"Ja")))</x:f>
      </x:c>
      <x:c r="H958" s="88" t="str">
        <x:f>IF(C958="","",MIN(MAX(0,D958+E958-F958-G958),MAX(0,IF(MONATSBUDGET!$C$54="",0,MONATSBUDGET!$C$54)-SUM(F940:F959)-SUM(H940:H957))))</x:f>
      </x:c>
      <x:c r="I958" s="88" t="str">
        <x:f>IF(C958="","",MAX(0,ROUND(D958+E958-F958-G958-H958,2)))</x:f>
      </x:c>
      <x:c r="J958" s="88" t="str">
        <x:f>IF(C958="","",F958+G958+H958)</x:f>
      </x:c>
      <x:c r="K958" s="88" t="str">
        <x:f>IF(C958="","",MAX(0,SUMIFS(SONDERZAHLUNGEN!$E$9:$E$128,SONDERZAHLUNGEN!$B$9:$B$128,C958,SONDERZAHLUNGEN!$C$9:$C$128,A958,SONDERZAHLUNGEN!$H$9:$H$128,"OK",SONDERZAHLUNGEN!$F$9:$F$128,"Ja")-G958))</x:f>
      </x:c>
    </x:row>
    <x:row r="959" ht="19" customHeight="1">
      <x:c r="A959" s="90" t="n">
        <x:f>MONATSBUDGET!$A$54</x:f>
        <x:v>47635</x:v>
      </x:c>
      <x:c r="B959" t="n">
        <x:f>20</x:f>
        <x:v>20</x:v>
      </x:c>
      <x:c r="C959" t="str">
        <x:f>IF($N$28="","",$N$28)</x:f>
      </x:c>
      <x:c r="D959" s="88" t="str">
        <x:f>IF(C959="","",I939)</x:f>
      </x:c>
      <x:c r="E959" s="88" t="str">
        <x:f>IF(C959="","",ROUND(D959*$P$28/12,2))</x:f>
      </x:c>
      <x:c r="F959" s="88" t="str">
        <x:f>IF(C959="","",MIN(D959+E959,$Q$28))</x:f>
      </x:c>
      <x:c r="G959" s="88" t="str">
        <x:f>IF(C959="","",MIN(MAX(0,D959+E959-F959),SUMIFS(SONDERZAHLUNGEN!$E$9:$E$128,SONDERZAHLUNGEN!$B$9:$B$128,C959,SONDERZAHLUNGEN!$C$9:$C$128,A959,SONDERZAHLUNGEN!$H$9:$H$128,"OK",SONDERZAHLUNGEN!$F$9:$F$128,"Ja")))</x:f>
      </x:c>
      <x:c r="H959" s="88" t="str">
        <x:f>IF(C959="","",MIN(MAX(0,D959+E959-F959-G959),MAX(0,IF(MONATSBUDGET!$C$54="",0,MONATSBUDGET!$C$54)-SUM(F940:F959)-SUM(H940:H958))))</x:f>
      </x:c>
      <x:c r="I959" s="88" t="str">
        <x:f>IF(C959="","",MAX(0,ROUND(D959+E959-F959-G959-H959,2)))</x:f>
      </x:c>
      <x:c r="J959" s="88" t="str">
        <x:f>IF(C959="","",F959+G959+H959)</x:f>
      </x:c>
      <x:c r="K959" s="88" t="str">
        <x:f>IF(C959="","",MAX(0,SUMIFS(SONDERZAHLUNGEN!$E$9:$E$128,SONDERZAHLUNGEN!$B$9:$B$128,C959,SONDERZAHLUNGEN!$C$9:$C$128,A959,SONDERZAHLUNGEN!$H$9:$H$128,"OK",SONDERZAHLUNGEN!$F$9:$F$128,"Ja")-G959))</x:f>
      </x:c>
    </x:row>
    <x:row r="960" ht="19" customHeight="1">
      <x:c r="A960" s="90" t="n">
        <x:f>MONATSBUDGET!$A$55</x:f>
        <x:v>47665</x:v>
      </x:c>
      <x:c r="B960" t="n">
        <x:f>1</x:f>
        <x:v>1</x:v>
      </x:c>
      <x:c r="C960" t="str">
        <x:f>IF($N$9="","",$N$9)</x:f>
      </x:c>
      <x:c r="D960" s="88" t="str">
        <x:f>IF(C960="","",I940)</x:f>
      </x:c>
      <x:c r="E960" s="88" t="str">
        <x:f>IF(C960="","",ROUND(D960*$P$9/12,2))</x:f>
      </x:c>
      <x:c r="F960" s="88" t="str">
        <x:f>IF(C960="","",MIN(D960+E960,$Q$9))</x:f>
      </x:c>
      <x:c r="G960" s="88" t="str">
        <x:f>IF(C960="","",MIN(MAX(0,D960+E960-F960),SUMIFS(SONDERZAHLUNGEN!$E$9:$E$128,SONDERZAHLUNGEN!$B$9:$B$128,C960,SONDERZAHLUNGEN!$C$9:$C$128,A960,SONDERZAHLUNGEN!$H$9:$H$128,"OK",SONDERZAHLUNGEN!$F$9:$F$128,"Ja")))</x:f>
      </x:c>
      <x:c r="H960" s="88" t="str">
        <x:f>IF(C960="","",MIN(MAX(0,D960+E960-F960-G960),MAX(0,IF(MONATSBUDGET!$C$55="",0,MONATSBUDGET!$C$55)-SUM(F960:F979)-0)))</x:f>
      </x:c>
      <x:c r="I960" s="88" t="str">
        <x:f>IF(C960="","",MAX(0,ROUND(D960+E960-F960-G960-H960,2)))</x:f>
      </x:c>
      <x:c r="J960" s="88" t="str">
        <x:f>IF(C960="","",F960+G960+H960)</x:f>
      </x:c>
      <x:c r="K960" s="88" t="str">
        <x:f>IF(C960="","",MAX(0,SUMIFS(SONDERZAHLUNGEN!$E$9:$E$128,SONDERZAHLUNGEN!$B$9:$B$128,C960,SONDERZAHLUNGEN!$C$9:$C$128,A960,SONDERZAHLUNGEN!$H$9:$H$128,"OK",SONDERZAHLUNGEN!$F$9:$F$128,"Ja")-G960))</x:f>
      </x:c>
    </x:row>
    <x:row r="961" ht="19" customHeight="1">
      <x:c r="A961" s="90" t="n">
        <x:f>MONATSBUDGET!$A$55</x:f>
        <x:v>47665</x:v>
      </x:c>
      <x:c r="B961" t="n">
        <x:f>2</x:f>
        <x:v>2</x:v>
      </x:c>
      <x:c r="C961" t="str">
        <x:f>IF($N$10="","",$N$10)</x:f>
      </x:c>
      <x:c r="D961" s="88" t="str">
        <x:f>IF(C961="","",I941)</x:f>
      </x:c>
      <x:c r="E961" s="88" t="str">
        <x:f>IF(C961="","",ROUND(D961*$P$10/12,2))</x:f>
      </x:c>
      <x:c r="F961" s="88" t="str">
        <x:f>IF(C961="","",MIN(D961+E961,$Q$10))</x:f>
      </x:c>
      <x:c r="G961" s="88" t="str">
        <x:f>IF(C961="","",MIN(MAX(0,D961+E961-F961),SUMIFS(SONDERZAHLUNGEN!$E$9:$E$128,SONDERZAHLUNGEN!$B$9:$B$128,C961,SONDERZAHLUNGEN!$C$9:$C$128,A961,SONDERZAHLUNGEN!$H$9:$H$128,"OK",SONDERZAHLUNGEN!$F$9:$F$128,"Ja")))</x:f>
      </x:c>
      <x:c r="H961" s="88" t="str">
        <x:f>IF(C961="","",MIN(MAX(0,D961+E961-F961-G961),MAX(0,IF(MONATSBUDGET!$C$55="",0,MONATSBUDGET!$C$55)-SUM(F960:F979)-SUM(H960:H960))))</x:f>
      </x:c>
      <x:c r="I961" s="88" t="str">
        <x:f>IF(C961="","",MAX(0,ROUND(D961+E961-F961-G961-H961,2)))</x:f>
      </x:c>
      <x:c r="J961" s="88" t="str">
        <x:f>IF(C961="","",F961+G961+H961)</x:f>
      </x:c>
      <x:c r="K961" s="88" t="str">
        <x:f>IF(C961="","",MAX(0,SUMIFS(SONDERZAHLUNGEN!$E$9:$E$128,SONDERZAHLUNGEN!$B$9:$B$128,C961,SONDERZAHLUNGEN!$C$9:$C$128,A961,SONDERZAHLUNGEN!$H$9:$H$128,"OK",SONDERZAHLUNGEN!$F$9:$F$128,"Ja")-G961))</x:f>
      </x:c>
    </x:row>
    <x:row r="962" ht="19" customHeight="1">
      <x:c r="A962" s="90" t="n">
        <x:f>MONATSBUDGET!$A$55</x:f>
        <x:v>47665</x:v>
      </x:c>
      <x:c r="B962" t="n">
        <x:f>3</x:f>
        <x:v>3</x:v>
      </x:c>
      <x:c r="C962" t="str">
        <x:f>IF($N$11="","",$N$11)</x:f>
      </x:c>
      <x:c r="D962" s="88" t="str">
        <x:f>IF(C962="","",I942)</x:f>
      </x:c>
      <x:c r="E962" s="88" t="str">
        <x:f>IF(C962="","",ROUND(D962*$P$11/12,2))</x:f>
      </x:c>
      <x:c r="F962" s="88" t="str">
        <x:f>IF(C962="","",MIN(D962+E962,$Q$11))</x:f>
      </x:c>
      <x:c r="G962" s="88" t="str">
        <x:f>IF(C962="","",MIN(MAX(0,D962+E962-F962),SUMIFS(SONDERZAHLUNGEN!$E$9:$E$128,SONDERZAHLUNGEN!$B$9:$B$128,C962,SONDERZAHLUNGEN!$C$9:$C$128,A962,SONDERZAHLUNGEN!$H$9:$H$128,"OK",SONDERZAHLUNGEN!$F$9:$F$128,"Ja")))</x:f>
      </x:c>
      <x:c r="H962" s="88" t="str">
        <x:f>IF(C962="","",MIN(MAX(0,D962+E962-F962-G962),MAX(0,IF(MONATSBUDGET!$C$55="",0,MONATSBUDGET!$C$55)-SUM(F960:F979)-SUM(H960:H961))))</x:f>
      </x:c>
      <x:c r="I962" s="88" t="str">
        <x:f>IF(C962="","",MAX(0,ROUND(D962+E962-F962-G962-H962,2)))</x:f>
      </x:c>
      <x:c r="J962" s="88" t="str">
        <x:f>IF(C962="","",F962+G962+H962)</x:f>
      </x:c>
      <x:c r="K962" s="88" t="str">
        <x:f>IF(C962="","",MAX(0,SUMIFS(SONDERZAHLUNGEN!$E$9:$E$128,SONDERZAHLUNGEN!$B$9:$B$128,C962,SONDERZAHLUNGEN!$C$9:$C$128,A962,SONDERZAHLUNGEN!$H$9:$H$128,"OK",SONDERZAHLUNGEN!$F$9:$F$128,"Ja")-G962))</x:f>
      </x:c>
    </x:row>
    <x:row r="963" ht="19" customHeight="1">
      <x:c r="A963" s="90" t="n">
        <x:f>MONATSBUDGET!$A$55</x:f>
        <x:v>47665</x:v>
      </x:c>
      <x:c r="B963" t="n">
        <x:f>4</x:f>
        <x:v>4</x:v>
      </x:c>
      <x:c r="C963" t="str">
        <x:f>IF($N$12="","",$N$12)</x:f>
      </x:c>
      <x:c r="D963" s="88" t="str">
        <x:f>IF(C963="","",I943)</x:f>
      </x:c>
      <x:c r="E963" s="88" t="str">
        <x:f>IF(C963="","",ROUND(D963*$P$12/12,2))</x:f>
      </x:c>
      <x:c r="F963" s="88" t="str">
        <x:f>IF(C963="","",MIN(D963+E963,$Q$12))</x:f>
      </x:c>
      <x:c r="G963" s="88" t="str">
        <x:f>IF(C963="","",MIN(MAX(0,D963+E963-F963),SUMIFS(SONDERZAHLUNGEN!$E$9:$E$128,SONDERZAHLUNGEN!$B$9:$B$128,C963,SONDERZAHLUNGEN!$C$9:$C$128,A963,SONDERZAHLUNGEN!$H$9:$H$128,"OK",SONDERZAHLUNGEN!$F$9:$F$128,"Ja")))</x:f>
      </x:c>
      <x:c r="H963" s="88" t="str">
        <x:f>IF(C963="","",MIN(MAX(0,D963+E963-F963-G963),MAX(0,IF(MONATSBUDGET!$C$55="",0,MONATSBUDGET!$C$55)-SUM(F960:F979)-SUM(H960:H962))))</x:f>
      </x:c>
      <x:c r="I963" s="88" t="str">
        <x:f>IF(C963="","",MAX(0,ROUND(D963+E963-F963-G963-H963,2)))</x:f>
      </x:c>
      <x:c r="J963" s="88" t="str">
        <x:f>IF(C963="","",F963+G963+H963)</x:f>
      </x:c>
      <x:c r="K963" s="88" t="str">
        <x:f>IF(C963="","",MAX(0,SUMIFS(SONDERZAHLUNGEN!$E$9:$E$128,SONDERZAHLUNGEN!$B$9:$B$128,C963,SONDERZAHLUNGEN!$C$9:$C$128,A963,SONDERZAHLUNGEN!$H$9:$H$128,"OK",SONDERZAHLUNGEN!$F$9:$F$128,"Ja")-G963))</x:f>
      </x:c>
    </x:row>
    <x:row r="964" ht="19" customHeight="1">
      <x:c r="A964" s="90" t="n">
        <x:f>MONATSBUDGET!$A$55</x:f>
        <x:v>47665</x:v>
      </x:c>
      <x:c r="B964" t="n">
        <x:f>5</x:f>
        <x:v>5</x:v>
      </x:c>
      <x:c r="C964" t="str">
        <x:f>IF($N$13="","",$N$13)</x:f>
      </x:c>
      <x:c r="D964" s="88" t="str">
        <x:f>IF(C964="","",I944)</x:f>
      </x:c>
      <x:c r="E964" s="88" t="str">
        <x:f>IF(C964="","",ROUND(D964*$P$13/12,2))</x:f>
      </x:c>
      <x:c r="F964" s="88" t="str">
        <x:f>IF(C964="","",MIN(D964+E964,$Q$13))</x:f>
      </x:c>
      <x:c r="G964" s="88" t="str">
        <x:f>IF(C964="","",MIN(MAX(0,D964+E964-F964),SUMIFS(SONDERZAHLUNGEN!$E$9:$E$128,SONDERZAHLUNGEN!$B$9:$B$128,C964,SONDERZAHLUNGEN!$C$9:$C$128,A964,SONDERZAHLUNGEN!$H$9:$H$128,"OK",SONDERZAHLUNGEN!$F$9:$F$128,"Ja")))</x:f>
      </x:c>
      <x:c r="H964" s="88" t="str">
        <x:f>IF(C964="","",MIN(MAX(0,D964+E964-F964-G964),MAX(0,IF(MONATSBUDGET!$C$55="",0,MONATSBUDGET!$C$55)-SUM(F960:F979)-SUM(H960:H963))))</x:f>
      </x:c>
      <x:c r="I964" s="88" t="str">
        <x:f>IF(C964="","",MAX(0,ROUND(D964+E964-F964-G964-H964,2)))</x:f>
      </x:c>
      <x:c r="J964" s="88" t="str">
        <x:f>IF(C964="","",F964+G964+H964)</x:f>
      </x:c>
      <x:c r="K964" s="88" t="str">
        <x:f>IF(C964="","",MAX(0,SUMIFS(SONDERZAHLUNGEN!$E$9:$E$128,SONDERZAHLUNGEN!$B$9:$B$128,C964,SONDERZAHLUNGEN!$C$9:$C$128,A964,SONDERZAHLUNGEN!$H$9:$H$128,"OK",SONDERZAHLUNGEN!$F$9:$F$128,"Ja")-G964))</x:f>
      </x:c>
    </x:row>
    <x:row r="965" ht="19" customHeight="1">
      <x:c r="A965" s="90" t="n">
        <x:f>MONATSBUDGET!$A$55</x:f>
        <x:v>47665</x:v>
      </x:c>
      <x:c r="B965" t="n">
        <x:f>6</x:f>
        <x:v>6</x:v>
      </x:c>
      <x:c r="C965" t="str">
        <x:f>IF($N$14="","",$N$14)</x:f>
      </x:c>
      <x:c r="D965" s="88" t="str">
        <x:f>IF(C965="","",I945)</x:f>
      </x:c>
      <x:c r="E965" s="88" t="str">
        <x:f>IF(C965="","",ROUND(D965*$P$14/12,2))</x:f>
      </x:c>
      <x:c r="F965" s="88" t="str">
        <x:f>IF(C965="","",MIN(D965+E965,$Q$14))</x:f>
      </x:c>
      <x:c r="G965" s="88" t="str">
        <x:f>IF(C965="","",MIN(MAX(0,D965+E965-F965),SUMIFS(SONDERZAHLUNGEN!$E$9:$E$128,SONDERZAHLUNGEN!$B$9:$B$128,C965,SONDERZAHLUNGEN!$C$9:$C$128,A965,SONDERZAHLUNGEN!$H$9:$H$128,"OK",SONDERZAHLUNGEN!$F$9:$F$128,"Ja")))</x:f>
      </x:c>
      <x:c r="H965" s="88" t="str">
        <x:f>IF(C965="","",MIN(MAX(0,D965+E965-F965-G965),MAX(0,IF(MONATSBUDGET!$C$55="",0,MONATSBUDGET!$C$55)-SUM(F960:F979)-SUM(H960:H964))))</x:f>
      </x:c>
      <x:c r="I965" s="88" t="str">
        <x:f>IF(C965="","",MAX(0,ROUND(D965+E965-F965-G965-H965,2)))</x:f>
      </x:c>
      <x:c r="J965" s="88" t="str">
        <x:f>IF(C965="","",F965+G965+H965)</x:f>
      </x:c>
      <x:c r="K965" s="88" t="str">
        <x:f>IF(C965="","",MAX(0,SUMIFS(SONDERZAHLUNGEN!$E$9:$E$128,SONDERZAHLUNGEN!$B$9:$B$128,C965,SONDERZAHLUNGEN!$C$9:$C$128,A965,SONDERZAHLUNGEN!$H$9:$H$128,"OK",SONDERZAHLUNGEN!$F$9:$F$128,"Ja")-G965))</x:f>
      </x:c>
    </x:row>
    <x:row r="966" ht="19" customHeight="1">
      <x:c r="A966" s="90" t="n">
        <x:f>MONATSBUDGET!$A$55</x:f>
        <x:v>47665</x:v>
      </x:c>
      <x:c r="B966" t="n">
        <x:f>7</x:f>
        <x:v>7</x:v>
      </x:c>
      <x:c r="C966" t="str">
        <x:f>IF($N$15="","",$N$15)</x:f>
      </x:c>
      <x:c r="D966" s="88" t="str">
        <x:f>IF(C966="","",I946)</x:f>
      </x:c>
      <x:c r="E966" s="88" t="str">
        <x:f>IF(C966="","",ROUND(D966*$P$15/12,2))</x:f>
      </x:c>
      <x:c r="F966" s="88" t="str">
        <x:f>IF(C966="","",MIN(D966+E966,$Q$15))</x:f>
      </x:c>
      <x:c r="G966" s="88" t="str">
        <x:f>IF(C966="","",MIN(MAX(0,D966+E966-F966),SUMIFS(SONDERZAHLUNGEN!$E$9:$E$128,SONDERZAHLUNGEN!$B$9:$B$128,C966,SONDERZAHLUNGEN!$C$9:$C$128,A966,SONDERZAHLUNGEN!$H$9:$H$128,"OK",SONDERZAHLUNGEN!$F$9:$F$128,"Ja")))</x:f>
      </x:c>
      <x:c r="H966" s="88" t="str">
        <x:f>IF(C966="","",MIN(MAX(0,D966+E966-F966-G966),MAX(0,IF(MONATSBUDGET!$C$55="",0,MONATSBUDGET!$C$55)-SUM(F960:F979)-SUM(H960:H965))))</x:f>
      </x:c>
      <x:c r="I966" s="88" t="str">
        <x:f>IF(C966="","",MAX(0,ROUND(D966+E966-F966-G966-H966,2)))</x:f>
      </x:c>
      <x:c r="J966" s="88" t="str">
        <x:f>IF(C966="","",F966+G966+H966)</x:f>
      </x:c>
      <x:c r="K966" s="88" t="str">
        <x:f>IF(C966="","",MAX(0,SUMIFS(SONDERZAHLUNGEN!$E$9:$E$128,SONDERZAHLUNGEN!$B$9:$B$128,C966,SONDERZAHLUNGEN!$C$9:$C$128,A966,SONDERZAHLUNGEN!$H$9:$H$128,"OK",SONDERZAHLUNGEN!$F$9:$F$128,"Ja")-G966))</x:f>
      </x:c>
    </x:row>
    <x:row r="967" ht="19" customHeight="1">
      <x:c r="A967" s="90" t="n">
        <x:f>MONATSBUDGET!$A$55</x:f>
        <x:v>47665</x:v>
      </x:c>
      <x:c r="B967" t="n">
        <x:f>8</x:f>
        <x:v>8</x:v>
      </x:c>
      <x:c r="C967" t="str">
        <x:f>IF($N$16="","",$N$16)</x:f>
      </x:c>
      <x:c r="D967" s="88" t="str">
        <x:f>IF(C967="","",I947)</x:f>
      </x:c>
      <x:c r="E967" s="88" t="str">
        <x:f>IF(C967="","",ROUND(D967*$P$16/12,2))</x:f>
      </x:c>
      <x:c r="F967" s="88" t="str">
        <x:f>IF(C967="","",MIN(D967+E967,$Q$16))</x:f>
      </x:c>
      <x:c r="G967" s="88" t="str">
        <x:f>IF(C967="","",MIN(MAX(0,D967+E967-F967),SUMIFS(SONDERZAHLUNGEN!$E$9:$E$128,SONDERZAHLUNGEN!$B$9:$B$128,C967,SONDERZAHLUNGEN!$C$9:$C$128,A967,SONDERZAHLUNGEN!$H$9:$H$128,"OK",SONDERZAHLUNGEN!$F$9:$F$128,"Ja")))</x:f>
      </x:c>
      <x:c r="H967" s="88" t="str">
        <x:f>IF(C967="","",MIN(MAX(0,D967+E967-F967-G967),MAX(0,IF(MONATSBUDGET!$C$55="",0,MONATSBUDGET!$C$55)-SUM(F960:F979)-SUM(H960:H966))))</x:f>
      </x:c>
      <x:c r="I967" s="88" t="str">
        <x:f>IF(C967="","",MAX(0,ROUND(D967+E967-F967-G967-H967,2)))</x:f>
      </x:c>
      <x:c r="J967" s="88" t="str">
        <x:f>IF(C967="","",F967+G967+H967)</x:f>
      </x:c>
      <x:c r="K967" s="88" t="str">
        <x:f>IF(C967="","",MAX(0,SUMIFS(SONDERZAHLUNGEN!$E$9:$E$128,SONDERZAHLUNGEN!$B$9:$B$128,C967,SONDERZAHLUNGEN!$C$9:$C$128,A967,SONDERZAHLUNGEN!$H$9:$H$128,"OK",SONDERZAHLUNGEN!$F$9:$F$128,"Ja")-G967))</x:f>
      </x:c>
    </x:row>
    <x:row r="968" ht="19" customHeight="1">
      <x:c r="A968" s="90" t="n">
        <x:f>MONATSBUDGET!$A$55</x:f>
        <x:v>47665</x:v>
      </x:c>
      <x:c r="B968" t="n">
        <x:f>9</x:f>
        <x:v>9</x:v>
      </x:c>
      <x:c r="C968" t="str">
        <x:f>IF($N$17="","",$N$17)</x:f>
      </x:c>
      <x:c r="D968" s="88" t="str">
        <x:f>IF(C968="","",I948)</x:f>
      </x:c>
      <x:c r="E968" s="88" t="str">
        <x:f>IF(C968="","",ROUND(D968*$P$17/12,2))</x:f>
      </x:c>
      <x:c r="F968" s="88" t="str">
        <x:f>IF(C968="","",MIN(D968+E968,$Q$17))</x:f>
      </x:c>
      <x:c r="G968" s="88" t="str">
        <x:f>IF(C968="","",MIN(MAX(0,D968+E968-F968),SUMIFS(SONDERZAHLUNGEN!$E$9:$E$128,SONDERZAHLUNGEN!$B$9:$B$128,C968,SONDERZAHLUNGEN!$C$9:$C$128,A968,SONDERZAHLUNGEN!$H$9:$H$128,"OK",SONDERZAHLUNGEN!$F$9:$F$128,"Ja")))</x:f>
      </x:c>
      <x:c r="H968" s="88" t="str">
        <x:f>IF(C968="","",MIN(MAX(0,D968+E968-F968-G968),MAX(0,IF(MONATSBUDGET!$C$55="",0,MONATSBUDGET!$C$55)-SUM(F960:F979)-SUM(H960:H967))))</x:f>
      </x:c>
      <x:c r="I968" s="88" t="str">
        <x:f>IF(C968="","",MAX(0,ROUND(D968+E968-F968-G968-H968,2)))</x:f>
      </x:c>
      <x:c r="J968" s="88" t="str">
        <x:f>IF(C968="","",F968+G968+H968)</x:f>
      </x:c>
      <x:c r="K968" s="88" t="str">
        <x:f>IF(C968="","",MAX(0,SUMIFS(SONDERZAHLUNGEN!$E$9:$E$128,SONDERZAHLUNGEN!$B$9:$B$128,C968,SONDERZAHLUNGEN!$C$9:$C$128,A968,SONDERZAHLUNGEN!$H$9:$H$128,"OK",SONDERZAHLUNGEN!$F$9:$F$128,"Ja")-G968))</x:f>
      </x:c>
    </x:row>
    <x:row r="969" ht="19" customHeight="1">
      <x:c r="A969" s="90" t="n">
        <x:f>MONATSBUDGET!$A$55</x:f>
        <x:v>47665</x:v>
      </x:c>
      <x:c r="B969" t="n">
        <x:f>10</x:f>
        <x:v>10</x:v>
      </x:c>
      <x:c r="C969" t="str">
        <x:f>IF($N$18="","",$N$18)</x:f>
      </x:c>
      <x:c r="D969" s="88" t="str">
        <x:f>IF(C969="","",I949)</x:f>
      </x:c>
      <x:c r="E969" s="88" t="str">
        <x:f>IF(C969="","",ROUND(D969*$P$18/12,2))</x:f>
      </x:c>
      <x:c r="F969" s="88" t="str">
        <x:f>IF(C969="","",MIN(D969+E969,$Q$18))</x:f>
      </x:c>
      <x:c r="G969" s="88" t="str">
        <x:f>IF(C969="","",MIN(MAX(0,D969+E969-F969),SUMIFS(SONDERZAHLUNGEN!$E$9:$E$128,SONDERZAHLUNGEN!$B$9:$B$128,C969,SONDERZAHLUNGEN!$C$9:$C$128,A969,SONDERZAHLUNGEN!$H$9:$H$128,"OK",SONDERZAHLUNGEN!$F$9:$F$128,"Ja")))</x:f>
      </x:c>
      <x:c r="H969" s="88" t="str">
        <x:f>IF(C969="","",MIN(MAX(0,D969+E969-F969-G969),MAX(0,IF(MONATSBUDGET!$C$55="",0,MONATSBUDGET!$C$55)-SUM(F960:F979)-SUM(H960:H968))))</x:f>
      </x:c>
      <x:c r="I969" s="88" t="str">
        <x:f>IF(C969="","",MAX(0,ROUND(D969+E969-F969-G969-H969,2)))</x:f>
      </x:c>
      <x:c r="J969" s="88" t="str">
        <x:f>IF(C969="","",F969+G969+H969)</x:f>
      </x:c>
      <x:c r="K969" s="88" t="str">
        <x:f>IF(C969="","",MAX(0,SUMIFS(SONDERZAHLUNGEN!$E$9:$E$128,SONDERZAHLUNGEN!$B$9:$B$128,C969,SONDERZAHLUNGEN!$C$9:$C$128,A969,SONDERZAHLUNGEN!$H$9:$H$128,"OK",SONDERZAHLUNGEN!$F$9:$F$128,"Ja")-G969))</x:f>
      </x:c>
    </x:row>
    <x:row r="970" ht="19" customHeight="1">
      <x:c r="A970" s="90" t="n">
        <x:f>MONATSBUDGET!$A$55</x:f>
        <x:v>47665</x:v>
      </x:c>
      <x:c r="B970" t="n">
        <x:f>11</x:f>
        <x:v>11</x:v>
      </x:c>
      <x:c r="C970" t="str">
        <x:f>IF($N$19="","",$N$19)</x:f>
      </x:c>
      <x:c r="D970" s="88" t="str">
        <x:f>IF(C970="","",I950)</x:f>
      </x:c>
      <x:c r="E970" s="88" t="str">
        <x:f>IF(C970="","",ROUND(D970*$P$19/12,2))</x:f>
      </x:c>
      <x:c r="F970" s="88" t="str">
        <x:f>IF(C970="","",MIN(D970+E970,$Q$19))</x:f>
      </x:c>
      <x:c r="G970" s="88" t="str">
        <x:f>IF(C970="","",MIN(MAX(0,D970+E970-F970),SUMIFS(SONDERZAHLUNGEN!$E$9:$E$128,SONDERZAHLUNGEN!$B$9:$B$128,C970,SONDERZAHLUNGEN!$C$9:$C$128,A970,SONDERZAHLUNGEN!$H$9:$H$128,"OK",SONDERZAHLUNGEN!$F$9:$F$128,"Ja")))</x:f>
      </x:c>
      <x:c r="H970" s="88" t="str">
        <x:f>IF(C970="","",MIN(MAX(0,D970+E970-F970-G970),MAX(0,IF(MONATSBUDGET!$C$55="",0,MONATSBUDGET!$C$55)-SUM(F960:F979)-SUM(H960:H969))))</x:f>
      </x:c>
      <x:c r="I970" s="88" t="str">
        <x:f>IF(C970="","",MAX(0,ROUND(D970+E970-F970-G970-H970,2)))</x:f>
      </x:c>
      <x:c r="J970" s="88" t="str">
        <x:f>IF(C970="","",F970+G970+H970)</x:f>
      </x:c>
      <x:c r="K970" s="88" t="str">
        <x:f>IF(C970="","",MAX(0,SUMIFS(SONDERZAHLUNGEN!$E$9:$E$128,SONDERZAHLUNGEN!$B$9:$B$128,C970,SONDERZAHLUNGEN!$C$9:$C$128,A970,SONDERZAHLUNGEN!$H$9:$H$128,"OK",SONDERZAHLUNGEN!$F$9:$F$128,"Ja")-G970))</x:f>
      </x:c>
    </x:row>
    <x:row r="971" ht="19" customHeight="1">
      <x:c r="A971" s="90" t="n">
        <x:f>MONATSBUDGET!$A$55</x:f>
        <x:v>47665</x:v>
      </x:c>
      <x:c r="B971" t="n">
        <x:f>12</x:f>
        <x:v>12</x:v>
      </x:c>
      <x:c r="C971" t="str">
        <x:f>IF($N$20="","",$N$20)</x:f>
      </x:c>
      <x:c r="D971" s="88" t="str">
        <x:f>IF(C971="","",I951)</x:f>
      </x:c>
      <x:c r="E971" s="88" t="str">
        <x:f>IF(C971="","",ROUND(D971*$P$20/12,2))</x:f>
      </x:c>
      <x:c r="F971" s="88" t="str">
        <x:f>IF(C971="","",MIN(D971+E971,$Q$20))</x:f>
      </x:c>
      <x:c r="G971" s="88" t="str">
        <x:f>IF(C971="","",MIN(MAX(0,D971+E971-F971),SUMIFS(SONDERZAHLUNGEN!$E$9:$E$128,SONDERZAHLUNGEN!$B$9:$B$128,C971,SONDERZAHLUNGEN!$C$9:$C$128,A971,SONDERZAHLUNGEN!$H$9:$H$128,"OK",SONDERZAHLUNGEN!$F$9:$F$128,"Ja")))</x:f>
      </x:c>
      <x:c r="H971" s="88" t="str">
        <x:f>IF(C971="","",MIN(MAX(0,D971+E971-F971-G971),MAX(0,IF(MONATSBUDGET!$C$55="",0,MONATSBUDGET!$C$55)-SUM(F960:F979)-SUM(H960:H970))))</x:f>
      </x:c>
      <x:c r="I971" s="88" t="str">
        <x:f>IF(C971="","",MAX(0,ROUND(D971+E971-F971-G971-H971,2)))</x:f>
      </x:c>
      <x:c r="J971" s="88" t="str">
        <x:f>IF(C971="","",F971+G971+H971)</x:f>
      </x:c>
      <x:c r="K971" s="88" t="str">
        <x:f>IF(C971="","",MAX(0,SUMIFS(SONDERZAHLUNGEN!$E$9:$E$128,SONDERZAHLUNGEN!$B$9:$B$128,C971,SONDERZAHLUNGEN!$C$9:$C$128,A971,SONDERZAHLUNGEN!$H$9:$H$128,"OK",SONDERZAHLUNGEN!$F$9:$F$128,"Ja")-G971))</x:f>
      </x:c>
    </x:row>
    <x:row r="972" ht="19" customHeight="1">
      <x:c r="A972" s="90" t="n">
        <x:f>MONATSBUDGET!$A$55</x:f>
        <x:v>47665</x:v>
      </x:c>
      <x:c r="B972" t="n">
        <x:f>13</x:f>
        <x:v>13</x:v>
      </x:c>
      <x:c r="C972" t="str">
        <x:f>IF($N$21="","",$N$21)</x:f>
      </x:c>
      <x:c r="D972" s="88" t="str">
        <x:f>IF(C972="","",I952)</x:f>
      </x:c>
      <x:c r="E972" s="88" t="str">
        <x:f>IF(C972="","",ROUND(D972*$P$21/12,2))</x:f>
      </x:c>
      <x:c r="F972" s="88" t="str">
        <x:f>IF(C972="","",MIN(D972+E972,$Q$21))</x:f>
      </x:c>
      <x:c r="G972" s="88" t="str">
        <x:f>IF(C972="","",MIN(MAX(0,D972+E972-F972),SUMIFS(SONDERZAHLUNGEN!$E$9:$E$128,SONDERZAHLUNGEN!$B$9:$B$128,C972,SONDERZAHLUNGEN!$C$9:$C$128,A972,SONDERZAHLUNGEN!$H$9:$H$128,"OK",SONDERZAHLUNGEN!$F$9:$F$128,"Ja")))</x:f>
      </x:c>
      <x:c r="H972" s="88" t="str">
        <x:f>IF(C972="","",MIN(MAX(0,D972+E972-F972-G972),MAX(0,IF(MONATSBUDGET!$C$55="",0,MONATSBUDGET!$C$55)-SUM(F960:F979)-SUM(H960:H971))))</x:f>
      </x:c>
      <x:c r="I972" s="88" t="str">
        <x:f>IF(C972="","",MAX(0,ROUND(D972+E972-F972-G972-H972,2)))</x:f>
      </x:c>
      <x:c r="J972" s="88" t="str">
        <x:f>IF(C972="","",F972+G972+H972)</x:f>
      </x:c>
      <x:c r="K972" s="88" t="str">
        <x:f>IF(C972="","",MAX(0,SUMIFS(SONDERZAHLUNGEN!$E$9:$E$128,SONDERZAHLUNGEN!$B$9:$B$128,C972,SONDERZAHLUNGEN!$C$9:$C$128,A972,SONDERZAHLUNGEN!$H$9:$H$128,"OK",SONDERZAHLUNGEN!$F$9:$F$128,"Ja")-G972))</x:f>
      </x:c>
    </x:row>
    <x:row r="973" ht="19" customHeight="1">
      <x:c r="A973" s="90" t="n">
        <x:f>MONATSBUDGET!$A$55</x:f>
        <x:v>47665</x:v>
      </x:c>
      <x:c r="B973" t="n">
        <x:f>14</x:f>
        <x:v>14</x:v>
      </x:c>
      <x:c r="C973" t="str">
        <x:f>IF($N$22="","",$N$22)</x:f>
      </x:c>
      <x:c r="D973" s="88" t="str">
        <x:f>IF(C973="","",I953)</x:f>
      </x:c>
      <x:c r="E973" s="88" t="str">
        <x:f>IF(C973="","",ROUND(D973*$P$22/12,2))</x:f>
      </x:c>
      <x:c r="F973" s="88" t="str">
        <x:f>IF(C973="","",MIN(D973+E973,$Q$22))</x:f>
      </x:c>
      <x:c r="G973" s="88" t="str">
        <x:f>IF(C973="","",MIN(MAX(0,D973+E973-F973),SUMIFS(SONDERZAHLUNGEN!$E$9:$E$128,SONDERZAHLUNGEN!$B$9:$B$128,C973,SONDERZAHLUNGEN!$C$9:$C$128,A973,SONDERZAHLUNGEN!$H$9:$H$128,"OK",SONDERZAHLUNGEN!$F$9:$F$128,"Ja")))</x:f>
      </x:c>
      <x:c r="H973" s="88" t="str">
        <x:f>IF(C973="","",MIN(MAX(0,D973+E973-F973-G973),MAX(0,IF(MONATSBUDGET!$C$55="",0,MONATSBUDGET!$C$55)-SUM(F960:F979)-SUM(H960:H972))))</x:f>
      </x:c>
      <x:c r="I973" s="88" t="str">
        <x:f>IF(C973="","",MAX(0,ROUND(D973+E973-F973-G973-H973,2)))</x:f>
      </x:c>
      <x:c r="J973" s="88" t="str">
        <x:f>IF(C973="","",F973+G973+H973)</x:f>
      </x:c>
      <x:c r="K973" s="88" t="str">
        <x:f>IF(C973="","",MAX(0,SUMIFS(SONDERZAHLUNGEN!$E$9:$E$128,SONDERZAHLUNGEN!$B$9:$B$128,C973,SONDERZAHLUNGEN!$C$9:$C$128,A973,SONDERZAHLUNGEN!$H$9:$H$128,"OK",SONDERZAHLUNGEN!$F$9:$F$128,"Ja")-G973))</x:f>
      </x:c>
    </x:row>
    <x:row r="974" ht="19" customHeight="1">
      <x:c r="A974" s="90" t="n">
        <x:f>MONATSBUDGET!$A$55</x:f>
        <x:v>47665</x:v>
      </x:c>
      <x:c r="B974" t="n">
        <x:f>15</x:f>
        <x:v>15</x:v>
      </x:c>
      <x:c r="C974" t="str">
        <x:f>IF($N$23="","",$N$23)</x:f>
      </x:c>
      <x:c r="D974" s="88" t="str">
        <x:f>IF(C974="","",I954)</x:f>
      </x:c>
      <x:c r="E974" s="88" t="str">
        <x:f>IF(C974="","",ROUND(D974*$P$23/12,2))</x:f>
      </x:c>
      <x:c r="F974" s="88" t="str">
        <x:f>IF(C974="","",MIN(D974+E974,$Q$23))</x:f>
      </x:c>
      <x:c r="G974" s="88" t="str">
        <x:f>IF(C974="","",MIN(MAX(0,D974+E974-F974),SUMIFS(SONDERZAHLUNGEN!$E$9:$E$128,SONDERZAHLUNGEN!$B$9:$B$128,C974,SONDERZAHLUNGEN!$C$9:$C$128,A974,SONDERZAHLUNGEN!$H$9:$H$128,"OK",SONDERZAHLUNGEN!$F$9:$F$128,"Ja")))</x:f>
      </x:c>
      <x:c r="H974" s="88" t="str">
        <x:f>IF(C974="","",MIN(MAX(0,D974+E974-F974-G974),MAX(0,IF(MONATSBUDGET!$C$55="",0,MONATSBUDGET!$C$55)-SUM(F960:F979)-SUM(H960:H973))))</x:f>
      </x:c>
      <x:c r="I974" s="88" t="str">
        <x:f>IF(C974="","",MAX(0,ROUND(D974+E974-F974-G974-H974,2)))</x:f>
      </x:c>
      <x:c r="J974" s="88" t="str">
        <x:f>IF(C974="","",F974+G974+H974)</x:f>
      </x:c>
      <x:c r="K974" s="88" t="str">
        <x:f>IF(C974="","",MAX(0,SUMIFS(SONDERZAHLUNGEN!$E$9:$E$128,SONDERZAHLUNGEN!$B$9:$B$128,C974,SONDERZAHLUNGEN!$C$9:$C$128,A974,SONDERZAHLUNGEN!$H$9:$H$128,"OK",SONDERZAHLUNGEN!$F$9:$F$128,"Ja")-G974))</x:f>
      </x:c>
    </x:row>
    <x:row r="975" ht="19" customHeight="1">
      <x:c r="A975" s="90" t="n">
        <x:f>MONATSBUDGET!$A$55</x:f>
        <x:v>47665</x:v>
      </x:c>
      <x:c r="B975" t="n">
        <x:f>16</x:f>
        <x:v>16</x:v>
      </x:c>
      <x:c r="C975" t="str">
        <x:f>IF($N$24="","",$N$24)</x:f>
      </x:c>
      <x:c r="D975" s="88" t="str">
        <x:f>IF(C975="","",I955)</x:f>
      </x:c>
      <x:c r="E975" s="88" t="str">
        <x:f>IF(C975="","",ROUND(D975*$P$24/12,2))</x:f>
      </x:c>
      <x:c r="F975" s="88" t="str">
        <x:f>IF(C975="","",MIN(D975+E975,$Q$24))</x:f>
      </x:c>
      <x:c r="G975" s="88" t="str">
        <x:f>IF(C975="","",MIN(MAX(0,D975+E975-F975),SUMIFS(SONDERZAHLUNGEN!$E$9:$E$128,SONDERZAHLUNGEN!$B$9:$B$128,C975,SONDERZAHLUNGEN!$C$9:$C$128,A975,SONDERZAHLUNGEN!$H$9:$H$128,"OK",SONDERZAHLUNGEN!$F$9:$F$128,"Ja")))</x:f>
      </x:c>
      <x:c r="H975" s="88" t="str">
        <x:f>IF(C975="","",MIN(MAX(0,D975+E975-F975-G975),MAX(0,IF(MONATSBUDGET!$C$55="",0,MONATSBUDGET!$C$55)-SUM(F960:F979)-SUM(H960:H974))))</x:f>
      </x:c>
      <x:c r="I975" s="88" t="str">
        <x:f>IF(C975="","",MAX(0,ROUND(D975+E975-F975-G975-H975,2)))</x:f>
      </x:c>
      <x:c r="J975" s="88" t="str">
        <x:f>IF(C975="","",F975+G975+H975)</x:f>
      </x:c>
      <x:c r="K975" s="88" t="str">
        <x:f>IF(C975="","",MAX(0,SUMIFS(SONDERZAHLUNGEN!$E$9:$E$128,SONDERZAHLUNGEN!$B$9:$B$128,C975,SONDERZAHLUNGEN!$C$9:$C$128,A975,SONDERZAHLUNGEN!$H$9:$H$128,"OK",SONDERZAHLUNGEN!$F$9:$F$128,"Ja")-G975))</x:f>
      </x:c>
    </x:row>
    <x:row r="976" ht="19" customHeight="1">
      <x:c r="A976" s="90" t="n">
        <x:f>MONATSBUDGET!$A$55</x:f>
        <x:v>47665</x:v>
      </x:c>
      <x:c r="B976" t="n">
        <x:f>17</x:f>
        <x:v>17</x:v>
      </x:c>
      <x:c r="C976" t="str">
        <x:f>IF($N$25="","",$N$25)</x:f>
      </x:c>
      <x:c r="D976" s="88" t="str">
        <x:f>IF(C976="","",I956)</x:f>
      </x:c>
      <x:c r="E976" s="88" t="str">
        <x:f>IF(C976="","",ROUND(D976*$P$25/12,2))</x:f>
      </x:c>
      <x:c r="F976" s="88" t="str">
        <x:f>IF(C976="","",MIN(D976+E976,$Q$25))</x:f>
      </x:c>
      <x:c r="G976" s="88" t="str">
        <x:f>IF(C976="","",MIN(MAX(0,D976+E976-F976),SUMIFS(SONDERZAHLUNGEN!$E$9:$E$128,SONDERZAHLUNGEN!$B$9:$B$128,C976,SONDERZAHLUNGEN!$C$9:$C$128,A976,SONDERZAHLUNGEN!$H$9:$H$128,"OK",SONDERZAHLUNGEN!$F$9:$F$128,"Ja")))</x:f>
      </x:c>
      <x:c r="H976" s="88" t="str">
        <x:f>IF(C976="","",MIN(MAX(0,D976+E976-F976-G976),MAX(0,IF(MONATSBUDGET!$C$55="",0,MONATSBUDGET!$C$55)-SUM(F960:F979)-SUM(H960:H975))))</x:f>
      </x:c>
      <x:c r="I976" s="88" t="str">
        <x:f>IF(C976="","",MAX(0,ROUND(D976+E976-F976-G976-H976,2)))</x:f>
      </x:c>
      <x:c r="J976" s="88" t="str">
        <x:f>IF(C976="","",F976+G976+H976)</x:f>
      </x:c>
      <x:c r="K976" s="88" t="str">
        <x:f>IF(C976="","",MAX(0,SUMIFS(SONDERZAHLUNGEN!$E$9:$E$128,SONDERZAHLUNGEN!$B$9:$B$128,C976,SONDERZAHLUNGEN!$C$9:$C$128,A976,SONDERZAHLUNGEN!$H$9:$H$128,"OK",SONDERZAHLUNGEN!$F$9:$F$128,"Ja")-G976))</x:f>
      </x:c>
    </x:row>
    <x:row r="977" ht="19" customHeight="1">
      <x:c r="A977" s="90" t="n">
        <x:f>MONATSBUDGET!$A$55</x:f>
        <x:v>47665</x:v>
      </x:c>
      <x:c r="B977" t="n">
        <x:f>18</x:f>
        <x:v>18</x:v>
      </x:c>
      <x:c r="C977" t="str">
        <x:f>IF($N$26="","",$N$26)</x:f>
      </x:c>
      <x:c r="D977" s="88" t="str">
        <x:f>IF(C977="","",I957)</x:f>
      </x:c>
      <x:c r="E977" s="88" t="str">
        <x:f>IF(C977="","",ROUND(D977*$P$26/12,2))</x:f>
      </x:c>
      <x:c r="F977" s="88" t="str">
        <x:f>IF(C977="","",MIN(D977+E977,$Q$26))</x:f>
      </x:c>
      <x:c r="G977" s="88" t="str">
        <x:f>IF(C977="","",MIN(MAX(0,D977+E977-F977),SUMIFS(SONDERZAHLUNGEN!$E$9:$E$128,SONDERZAHLUNGEN!$B$9:$B$128,C977,SONDERZAHLUNGEN!$C$9:$C$128,A977,SONDERZAHLUNGEN!$H$9:$H$128,"OK",SONDERZAHLUNGEN!$F$9:$F$128,"Ja")))</x:f>
      </x:c>
      <x:c r="H977" s="88" t="str">
        <x:f>IF(C977="","",MIN(MAX(0,D977+E977-F977-G977),MAX(0,IF(MONATSBUDGET!$C$55="",0,MONATSBUDGET!$C$55)-SUM(F960:F979)-SUM(H960:H976))))</x:f>
      </x:c>
      <x:c r="I977" s="88" t="str">
        <x:f>IF(C977="","",MAX(0,ROUND(D977+E977-F977-G977-H977,2)))</x:f>
      </x:c>
      <x:c r="J977" s="88" t="str">
        <x:f>IF(C977="","",F977+G977+H977)</x:f>
      </x:c>
      <x:c r="K977" s="88" t="str">
        <x:f>IF(C977="","",MAX(0,SUMIFS(SONDERZAHLUNGEN!$E$9:$E$128,SONDERZAHLUNGEN!$B$9:$B$128,C977,SONDERZAHLUNGEN!$C$9:$C$128,A977,SONDERZAHLUNGEN!$H$9:$H$128,"OK",SONDERZAHLUNGEN!$F$9:$F$128,"Ja")-G977))</x:f>
      </x:c>
    </x:row>
    <x:row r="978" ht="19" customHeight="1">
      <x:c r="A978" s="90" t="n">
        <x:f>MONATSBUDGET!$A$55</x:f>
        <x:v>47665</x:v>
      </x:c>
      <x:c r="B978" t="n">
        <x:f>19</x:f>
        <x:v>19</x:v>
      </x:c>
      <x:c r="C978" t="str">
        <x:f>IF($N$27="","",$N$27)</x:f>
      </x:c>
      <x:c r="D978" s="88" t="str">
        <x:f>IF(C978="","",I958)</x:f>
      </x:c>
      <x:c r="E978" s="88" t="str">
        <x:f>IF(C978="","",ROUND(D978*$P$27/12,2))</x:f>
      </x:c>
      <x:c r="F978" s="88" t="str">
        <x:f>IF(C978="","",MIN(D978+E978,$Q$27))</x:f>
      </x:c>
      <x:c r="G978" s="88" t="str">
        <x:f>IF(C978="","",MIN(MAX(0,D978+E978-F978),SUMIFS(SONDERZAHLUNGEN!$E$9:$E$128,SONDERZAHLUNGEN!$B$9:$B$128,C978,SONDERZAHLUNGEN!$C$9:$C$128,A978,SONDERZAHLUNGEN!$H$9:$H$128,"OK",SONDERZAHLUNGEN!$F$9:$F$128,"Ja")))</x:f>
      </x:c>
      <x:c r="H978" s="88" t="str">
        <x:f>IF(C978="","",MIN(MAX(0,D978+E978-F978-G978),MAX(0,IF(MONATSBUDGET!$C$55="",0,MONATSBUDGET!$C$55)-SUM(F960:F979)-SUM(H960:H977))))</x:f>
      </x:c>
      <x:c r="I978" s="88" t="str">
        <x:f>IF(C978="","",MAX(0,ROUND(D978+E978-F978-G978-H978,2)))</x:f>
      </x:c>
      <x:c r="J978" s="88" t="str">
        <x:f>IF(C978="","",F978+G978+H978)</x:f>
      </x:c>
      <x:c r="K978" s="88" t="str">
        <x:f>IF(C978="","",MAX(0,SUMIFS(SONDERZAHLUNGEN!$E$9:$E$128,SONDERZAHLUNGEN!$B$9:$B$128,C978,SONDERZAHLUNGEN!$C$9:$C$128,A978,SONDERZAHLUNGEN!$H$9:$H$128,"OK",SONDERZAHLUNGEN!$F$9:$F$128,"Ja")-G978))</x:f>
      </x:c>
    </x:row>
    <x:row r="979" ht="19" customHeight="1">
      <x:c r="A979" s="90" t="n">
        <x:f>MONATSBUDGET!$A$55</x:f>
        <x:v>47665</x:v>
      </x:c>
      <x:c r="B979" t="n">
        <x:f>20</x:f>
        <x:v>20</x:v>
      </x:c>
      <x:c r="C979" t="str">
        <x:f>IF($N$28="","",$N$28)</x:f>
      </x:c>
      <x:c r="D979" s="88" t="str">
        <x:f>IF(C979="","",I959)</x:f>
      </x:c>
      <x:c r="E979" s="88" t="str">
        <x:f>IF(C979="","",ROUND(D979*$P$28/12,2))</x:f>
      </x:c>
      <x:c r="F979" s="88" t="str">
        <x:f>IF(C979="","",MIN(D979+E979,$Q$28))</x:f>
      </x:c>
      <x:c r="G979" s="88" t="str">
        <x:f>IF(C979="","",MIN(MAX(0,D979+E979-F979),SUMIFS(SONDERZAHLUNGEN!$E$9:$E$128,SONDERZAHLUNGEN!$B$9:$B$128,C979,SONDERZAHLUNGEN!$C$9:$C$128,A979,SONDERZAHLUNGEN!$H$9:$H$128,"OK",SONDERZAHLUNGEN!$F$9:$F$128,"Ja")))</x:f>
      </x:c>
      <x:c r="H979" s="88" t="str">
        <x:f>IF(C979="","",MIN(MAX(0,D979+E979-F979-G979),MAX(0,IF(MONATSBUDGET!$C$55="",0,MONATSBUDGET!$C$55)-SUM(F960:F979)-SUM(H960:H978))))</x:f>
      </x:c>
      <x:c r="I979" s="88" t="str">
        <x:f>IF(C979="","",MAX(0,ROUND(D979+E979-F979-G979-H979,2)))</x:f>
      </x:c>
      <x:c r="J979" s="88" t="str">
        <x:f>IF(C979="","",F979+G979+H979)</x:f>
      </x:c>
      <x:c r="K979" s="88" t="str">
        <x:f>IF(C979="","",MAX(0,SUMIFS(SONDERZAHLUNGEN!$E$9:$E$128,SONDERZAHLUNGEN!$B$9:$B$128,C979,SONDERZAHLUNGEN!$C$9:$C$128,A979,SONDERZAHLUNGEN!$H$9:$H$128,"OK",SONDERZAHLUNGEN!$F$9:$F$128,"Ja")-G979))</x:f>
      </x:c>
    </x:row>
    <x:row r="980" ht="19" customHeight="1">
      <x:c r="A980" s="90" t="n">
        <x:f>MONATSBUDGET!$A$56</x:f>
        <x:v>47696</x:v>
      </x:c>
      <x:c r="B980" t="n">
        <x:f>1</x:f>
        <x:v>1</x:v>
      </x:c>
      <x:c r="C980" t="str">
        <x:f>IF($N$9="","",$N$9)</x:f>
      </x:c>
      <x:c r="D980" s="88" t="str">
        <x:f>IF(C980="","",I960)</x:f>
      </x:c>
      <x:c r="E980" s="88" t="str">
        <x:f>IF(C980="","",ROUND(D980*$P$9/12,2))</x:f>
      </x:c>
      <x:c r="F980" s="88" t="str">
        <x:f>IF(C980="","",MIN(D980+E980,$Q$9))</x:f>
      </x:c>
      <x:c r="G980" s="88" t="str">
        <x:f>IF(C980="","",MIN(MAX(0,D980+E980-F980),SUMIFS(SONDERZAHLUNGEN!$E$9:$E$128,SONDERZAHLUNGEN!$B$9:$B$128,C980,SONDERZAHLUNGEN!$C$9:$C$128,A980,SONDERZAHLUNGEN!$H$9:$H$128,"OK",SONDERZAHLUNGEN!$F$9:$F$128,"Ja")))</x:f>
      </x:c>
      <x:c r="H980" s="88" t="str">
        <x:f>IF(C980="","",MIN(MAX(0,D980+E980-F980-G980),MAX(0,IF(MONATSBUDGET!$C$56="",0,MONATSBUDGET!$C$56)-SUM(F980:F999)-0)))</x:f>
      </x:c>
      <x:c r="I980" s="88" t="str">
        <x:f>IF(C980="","",MAX(0,ROUND(D980+E980-F980-G980-H980,2)))</x:f>
      </x:c>
      <x:c r="J980" s="88" t="str">
        <x:f>IF(C980="","",F980+G980+H980)</x:f>
      </x:c>
      <x:c r="K980" s="88" t="str">
        <x:f>IF(C980="","",MAX(0,SUMIFS(SONDERZAHLUNGEN!$E$9:$E$128,SONDERZAHLUNGEN!$B$9:$B$128,C980,SONDERZAHLUNGEN!$C$9:$C$128,A980,SONDERZAHLUNGEN!$H$9:$H$128,"OK",SONDERZAHLUNGEN!$F$9:$F$128,"Ja")-G980))</x:f>
      </x:c>
    </x:row>
    <x:row r="981" ht="19" customHeight="1">
      <x:c r="A981" s="90" t="n">
        <x:f>MONATSBUDGET!$A$56</x:f>
        <x:v>47696</x:v>
      </x:c>
      <x:c r="B981" t="n">
        <x:f>2</x:f>
        <x:v>2</x:v>
      </x:c>
      <x:c r="C981" t="str">
        <x:f>IF($N$10="","",$N$10)</x:f>
      </x:c>
      <x:c r="D981" s="88" t="str">
        <x:f>IF(C981="","",I961)</x:f>
      </x:c>
      <x:c r="E981" s="88" t="str">
        <x:f>IF(C981="","",ROUND(D981*$P$10/12,2))</x:f>
      </x:c>
      <x:c r="F981" s="88" t="str">
        <x:f>IF(C981="","",MIN(D981+E981,$Q$10))</x:f>
      </x:c>
      <x:c r="G981" s="88" t="str">
        <x:f>IF(C981="","",MIN(MAX(0,D981+E981-F981),SUMIFS(SONDERZAHLUNGEN!$E$9:$E$128,SONDERZAHLUNGEN!$B$9:$B$128,C981,SONDERZAHLUNGEN!$C$9:$C$128,A981,SONDERZAHLUNGEN!$H$9:$H$128,"OK",SONDERZAHLUNGEN!$F$9:$F$128,"Ja")))</x:f>
      </x:c>
      <x:c r="H981" s="88" t="str">
        <x:f>IF(C981="","",MIN(MAX(0,D981+E981-F981-G981),MAX(0,IF(MONATSBUDGET!$C$56="",0,MONATSBUDGET!$C$56)-SUM(F980:F999)-SUM(H980:H980))))</x:f>
      </x:c>
      <x:c r="I981" s="88" t="str">
        <x:f>IF(C981="","",MAX(0,ROUND(D981+E981-F981-G981-H981,2)))</x:f>
      </x:c>
      <x:c r="J981" s="88" t="str">
        <x:f>IF(C981="","",F981+G981+H981)</x:f>
      </x:c>
      <x:c r="K981" s="88" t="str">
        <x:f>IF(C981="","",MAX(0,SUMIFS(SONDERZAHLUNGEN!$E$9:$E$128,SONDERZAHLUNGEN!$B$9:$B$128,C981,SONDERZAHLUNGEN!$C$9:$C$128,A981,SONDERZAHLUNGEN!$H$9:$H$128,"OK",SONDERZAHLUNGEN!$F$9:$F$128,"Ja")-G981))</x:f>
      </x:c>
    </x:row>
    <x:row r="982" ht="19" customHeight="1">
      <x:c r="A982" s="90" t="n">
        <x:f>MONATSBUDGET!$A$56</x:f>
        <x:v>47696</x:v>
      </x:c>
      <x:c r="B982" t="n">
        <x:f>3</x:f>
        <x:v>3</x:v>
      </x:c>
      <x:c r="C982" t="str">
        <x:f>IF($N$11="","",$N$11)</x:f>
      </x:c>
      <x:c r="D982" s="88" t="str">
        <x:f>IF(C982="","",I962)</x:f>
      </x:c>
      <x:c r="E982" s="88" t="str">
        <x:f>IF(C982="","",ROUND(D982*$P$11/12,2))</x:f>
      </x:c>
      <x:c r="F982" s="88" t="str">
        <x:f>IF(C982="","",MIN(D982+E982,$Q$11))</x:f>
      </x:c>
      <x:c r="G982" s="88" t="str">
        <x:f>IF(C982="","",MIN(MAX(0,D982+E982-F982),SUMIFS(SONDERZAHLUNGEN!$E$9:$E$128,SONDERZAHLUNGEN!$B$9:$B$128,C982,SONDERZAHLUNGEN!$C$9:$C$128,A982,SONDERZAHLUNGEN!$H$9:$H$128,"OK",SONDERZAHLUNGEN!$F$9:$F$128,"Ja")))</x:f>
      </x:c>
      <x:c r="H982" s="88" t="str">
        <x:f>IF(C982="","",MIN(MAX(0,D982+E982-F982-G982),MAX(0,IF(MONATSBUDGET!$C$56="",0,MONATSBUDGET!$C$56)-SUM(F980:F999)-SUM(H980:H981))))</x:f>
      </x:c>
      <x:c r="I982" s="88" t="str">
        <x:f>IF(C982="","",MAX(0,ROUND(D982+E982-F982-G982-H982,2)))</x:f>
      </x:c>
      <x:c r="J982" s="88" t="str">
        <x:f>IF(C982="","",F982+G982+H982)</x:f>
      </x:c>
      <x:c r="K982" s="88" t="str">
        <x:f>IF(C982="","",MAX(0,SUMIFS(SONDERZAHLUNGEN!$E$9:$E$128,SONDERZAHLUNGEN!$B$9:$B$128,C982,SONDERZAHLUNGEN!$C$9:$C$128,A982,SONDERZAHLUNGEN!$H$9:$H$128,"OK",SONDERZAHLUNGEN!$F$9:$F$128,"Ja")-G982))</x:f>
      </x:c>
    </x:row>
    <x:row r="983" ht="19" customHeight="1">
      <x:c r="A983" s="90" t="n">
        <x:f>MONATSBUDGET!$A$56</x:f>
        <x:v>47696</x:v>
      </x:c>
      <x:c r="B983" t="n">
        <x:f>4</x:f>
        <x:v>4</x:v>
      </x:c>
      <x:c r="C983" t="str">
        <x:f>IF($N$12="","",$N$12)</x:f>
      </x:c>
      <x:c r="D983" s="88" t="str">
        <x:f>IF(C983="","",I963)</x:f>
      </x:c>
      <x:c r="E983" s="88" t="str">
        <x:f>IF(C983="","",ROUND(D983*$P$12/12,2))</x:f>
      </x:c>
      <x:c r="F983" s="88" t="str">
        <x:f>IF(C983="","",MIN(D983+E983,$Q$12))</x:f>
      </x:c>
      <x:c r="G983" s="88" t="str">
        <x:f>IF(C983="","",MIN(MAX(0,D983+E983-F983),SUMIFS(SONDERZAHLUNGEN!$E$9:$E$128,SONDERZAHLUNGEN!$B$9:$B$128,C983,SONDERZAHLUNGEN!$C$9:$C$128,A983,SONDERZAHLUNGEN!$H$9:$H$128,"OK",SONDERZAHLUNGEN!$F$9:$F$128,"Ja")))</x:f>
      </x:c>
      <x:c r="H983" s="88" t="str">
        <x:f>IF(C983="","",MIN(MAX(0,D983+E983-F983-G983),MAX(0,IF(MONATSBUDGET!$C$56="",0,MONATSBUDGET!$C$56)-SUM(F980:F999)-SUM(H980:H982))))</x:f>
      </x:c>
      <x:c r="I983" s="88" t="str">
        <x:f>IF(C983="","",MAX(0,ROUND(D983+E983-F983-G983-H983,2)))</x:f>
      </x:c>
      <x:c r="J983" s="88" t="str">
        <x:f>IF(C983="","",F983+G983+H983)</x:f>
      </x:c>
      <x:c r="K983" s="88" t="str">
        <x:f>IF(C983="","",MAX(0,SUMIFS(SONDERZAHLUNGEN!$E$9:$E$128,SONDERZAHLUNGEN!$B$9:$B$128,C983,SONDERZAHLUNGEN!$C$9:$C$128,A983,SONDERZAHLUNGEN!$H$9:$H$128,"OK",SONDERZAHLUNGEN!$F$9:$F$128,"Ja")-G983))</x:f>
      </x:c>
    </x:row>
    <x:row r="984" ht="19" customHeight="1">
      <x:c r="A984" s="90" t="n">
        <x:f>MONATSBUDGET!$A$56</x:f>
        <x:v>47696</x:v>
      </x:c>
      <x:c r="B984" t="n">
        <x:f>5</x:f>
        <x:v>5</x:v>
      </x:c>
      <x:c r="C984" t="str">
        <x:f>IF($N$13="","",$N$13)</x:f>
      </x:c>
      <x:c r="D984" s="88" t="str">
        <x:f>IF(C984="","",I964)</x:f>
      </x:c>
      <x:c r="E984" s="88" t="str">
        <x:f>IF(C984="","",ROUND(D984*$P$13/12,2))</x:f>
      </x:c>
      <x:c r="F984" s="88" t="str">
        <x:f>IF(C984="","",MIN(D984+E984,$Q$13))</x:f>
      </x:c>
      <x:c r="G984" s="88" t="str">
        <x:f>IF(C984="","",MIN(MAX(0,D984+E984-F984),SUMIFS(SONDERZAHLUNGEN!$E$9:$E$128,SONDERZAHLUNGEN!$B$9:$B$128,C984,SONDERZAHLUNGEN!$C$9:$C$128,A984,SONDERZAHLUNGEN!$H$9:$H$128,"OK",SONDERZAHLUNGEN!$F$9:$F$128,"Ja")))</x:f>
      </x:c>
      <x:c r="H984" s="88" t="str">
        <x:f>IF(C984="","",MIN(MAX(0,D984+E984-F984-G984),MAX(0,IF(MONATSBUDGET!$C$56="",0,MONATSBUDGET!$C$56)-SUM(F980:F999)-SUM(H980:H983))))</x:f>
      </x:c>
      <x:c r="I984" s="88" t="str">
        <x:f>IF(C984="","",MAX(0,ROUND(D984+E984-F984-G984-H984,2)))</x:f>
      </x:c>
      <x:c r="J984" s="88" t="str">
        <x:f>IF(C984="","",F984+G984+H984)</x:f>
      </x:c>
      <x:c r="K984" s="88" t="str">
        <x:f>IF(C984="","",MAX(0,SUMIFS(SONDERZAHLUNGEN!$E$9:$E$128,SONDERZAHLUNGEN!$B$9:$B$128,C984,SONDERZAHLUNGEN!$C$9:$C$128,A984,SONDERZAHLUNGEN!$H$9:$H$128,"OK",SONDERZAHLUNGEN!$F$9:$F$128,"Ja")-G984))</x:f>
      </x:c>
    </x:row>
    <x:row r="985" ht="19" customHeight="1">
      <x:c r="A985" s="90" t="n">
        <x:f>MONATSBUDGET!$A$56</x:f>
        <x:v>47696</x:v>
      </x:c>
      <x:c r="B985" t="n">
        <x:f>6</x:f>
        <x:v>6</x:v>
      </x:c>
      <x:c r="C985" t="str">
        <x:f>IF($N$14="","",$N$14)</x:f>
      </x:c>
      <x:c r="D985" s="88" t="str">
        <x:f>IF(C985="","",I965)</x:f>
      </x:c>
      <x:c r="E985" s="88" t="str">
        <x:f>IF(C985="","",ROUND(D985*$P$14/12,2))</x:f>
      </x:c>
      <x:c r="F985" s="88" t="str">
        <x:f>IF(C985="","",MIN(D985+E985,$Q$14))</x:f>
      </x:c>
      <x:c r="G985" s="88" t="str">
        <x:f>IF(C985="","",MIN(MAX(0,D985+E985-F985),SUMIFS(SONDERZAHLUNGEN!$E$9:$E$128,SONDERZAHLUNGEN!$B$9:$B$128,C985,SONDERZAHLUNGEN!$C$9:$C$128,A985,SONDERZAHLUNGEN!$H$9:$H$128,"OK",SONDERZAHLUNGEN!$F$9:$F$128,"Ja")))</x:f>
      </x:c>
      <x:c r="H985" s="88" t="str">
        <x:f>IF(C985="","",MIN(MAX(0,D985+E985-F985-G985),MAX(0,IF(MONATSBUDGET!$C$56="",0,MONATSBUDGET!$C$56)-SUM(F980:F999)-SUM(H980:H984))))</x:f>
      </x:c>
      <x:c r="I985" s="88" t="str">
        <x:f>IF(C985="","",MAX(0,ROUND(D985+E985-F985-G985-H985,2)))</x:f>
      </x:c>
      <x:c r="J985" s="88" t="str">
        <x:f>IF(C985="","",F985+G985+H985)</x:f>
      </x:c>
      <x:c r="K985" s="88" t="str">
        <x:f>IF(C985="","",MAX(0,SUMIFS(SONDERZAHLUNGEN!$E$9:$E$128,SONDERZAHLUNGEN!$B$9:$B$128,C985,SONDERZAHLUNGEN!$C$9:$C$128,A985,SONDERZAHLUNGEN!$H$9:$H$128,"OK",SONDERZAHLUNGEN!$F$9:$F$128,"Ja")-G985))</x:f>
      </x:c>
    </x:row>
    <x:row r="986" ht="19" customHeight="1">
      <x:c r="A986" s="90" t="n">
        <x:f>MONATSBUDGET!$A$56</x:f>
        <x:v>47696</x:v>
      </x:c>
      <x:c r="B986" t="n">
        <x:f>7</x:f>
        <x:v>7</x:v>
      </x:c>
      <x:c r="C986" t="str">
        <x:f>IF($N$15="","",$N$15)</x:f>
      </x:c>
      <x:c r="D986" s="88" t="str">
        <x:f>IF(C986="","",I966)</x:f>
      </x:c>
      <x:c r="E986" s="88" t="str">
        <x:f>IF(C986="","",ROUND(D986*$P$15/12,2))</x:f>
      </x:c>
      <x:c r="F986" s="88" t="str">
        <x:f>IF(C986="","",MIN(D986+E986,$Q$15))</x:f>
      </x:c>
      <x:c r="G986" s="88" t="str">
        <x:f>IF(C986="","",MIN(MAX(0,D986+E986-F986),SUMIFS(SONDERZAHLUNGEN!$E$9:$E$128,SONDERZAHLUNGEN!$B$9:$B$128,C986,SONDERZAHLUNGEN!$C$9:$C$128,A986,SONDERZAHLUNGEN!$H$9:$H$128,"OK",SONDERZAHLUNGEN!$F$9:$F$128,"Ja")))</x:f>
      </x:c>
      <x:c r="H986" s="88" t="str">
        <x:f>IF(C986="","",MIN(MAX(0,D986+E986-F986-G986),MAX(0,IF(MONATSBUDGET!$C$56="",0,MONATSBUDGET!$C$56)-SUM(F980:F999)-SUM(H980:H985))))</x:f>
      </x:c>
      <x:c r="I986" s="88" t="str">
        <x:f>IF(C986="","",MAX(0,ROUND(D986+E986-F986-G986-H986,2)))</x:f>
      </x:c>
      <x:c r="J986" s="88" t="str">
        <x:f>IF(C986="","",F986+G986+H986)</x:f>
      </x:c>
      <x:c r="K986" s="88" t="str">
        <x:f>IF(C986="","",MAX(0,SUMIFS(SONDERZAHLUNGEN!$E$9:$E$128,SONDERZAHLUNGEN!$B$9:$B$128,C986,SONDERZAHLUNGEN!$C$9:$C$128,A986,SONDERZAHLUNGEN!$H$9:$H$128,"OK",SONDERZAHLUNGEN!$F$9:$F$128,"Ja")-G986))</x:f>
      </x:c>
    </x:row>
    <x:row r="987" ht="19" customHeight="1">
      <x:c r="A987" s="90" t="n">
        <x:f>MONATSBUDGET!$A$56</x:f>
        <x:v>47696</x:v>
      </x:c>
      <x:c r="B987" t="n">
        <x:f>8</x:f>
        <x:v>8</x:v>
      </x:c>
      <x:c r="C987" t="str">
        <x:f>IF($N$16="","",$N$16)</x:f>
      </x:c>
      <x:c r="D987" s="88" t="str">
        <x:f>IF(C987="","",I967)</x:f>
      </x:c>
      <x:c r="E987" s="88" t="str">
        <x:f>IF(C987="","",ROUND(D987*$P$16/12,2))</x:f>
      </x:c>
      <x:c r="F987" s="88" t="str">
        <x:f>IF(C987="","",MIN(D987+E987,$Q$16))</x:f>
      </x:c>
      <x:c r="G987" s="88" t="str">
        <x:f>IF(C987="","",MIN(MAX(0,D987+E987-F987),SUMIFS(SONDERZAHLUNGEN!$E$9:$E$128,SONDERZAHLUNGEN!$B$9:$B$128,C987,SONDERZAHLUNGEN!$C$9:$C$128,A987,SONDERZAHLUNGEN!$H$9:$H$128,"OK",SONDERZAHLUNGEN!$F$9:$F$128,"Ja")))</x:f>
      </x:c>
      <x:c r="H987" s="88" t="str">
        <x:f>IF(C987="","",MIN(MAX(0,D987+E987-F987-G987),MAX(0,IF(MONATSBUDGET!$C$56="",0,MONATSBUDGET!$C$56)-SUM(F980:F999)-SUM(H980:H986))))</x:f>
      </x:c>
      <x:c r="I987" s="88" t="str">
        <x:f>IF(C987="","",MAX(0,ROUND(D987+E987-F987-G987-H987,2)))</x:f>
      </x:c>
      <x:c r="J987" s="88" t="str">
        <x:f>IF(C987="","",F987+G987+H987)</x:f>
      </x:c>
      <x:c r="K987" s="88" t="str">
        <x:f>IF(C987="","",MAX(0,SUMIFS(SONDERZAHLUNGEN!$E$9:$E$128,SONDERZAHLUNGEN!$B$9:$B$128,C987,SONDERZAHLUNGEN!$C$9:$C$128,A987,SONDERZAHLUNGEN!$H$9:$H$128,"OK",SONDERZAHLUNGEN!$F$9:$F$128,"Ja")-G987))</x:f>
      </x:c>
    </x:row>
    <x:row r="988" ht="19" customHeight="1">
      <x:c r="A988" s="90" t="n">
        <x:f>MONATSBUDGET!$A$56</x:f>
        <x:v>47696</x:v>
      </x:c>
      <x:c r="B988" t="n">
        <x:f>9</x:f>
        <x:v>9</x:v>
      </x:c>
      <x:c r="C988" t="str">
        <x:f>IF($N$17="","",$N$17)</x:f>
      </x:c>
      <x:c r="D988" s="88" t="str">
        <x:f>IF(C988="","",I968)</x:f>
      </x:c>
      <x:c r="E988" s="88" t="str">
        <x:f>IF(C988="","",ROUND(D988*$P$17/12,2))</x:f>
      </x:c>
      <x:c r="F988" s="88" t="str">
        <x:f>IF(C988="","",MIN(D988+E988,$Q$17))</x:f>
      </x:c>
      <x:c r="G988" s="88" t="str">
        <x:f>IF(C988="","",MIN(MAX(0,D988+E988-F988),SUMIFS(SONDERZAHLUNGEN!$E$9:$E$128,SONDERZAHLUNGEN!$B$9:$B$128,C988,SONDERZAHLUNGEN!$C$9:$C$128,A988,SONDERZAHLUNGEN!$H$9:$H$128,"OK",SONDERZAHLUNGEN!$F$9:$F$128,"Ja")))</x:f>
      </x:c>
      <x:c r="H988" s="88" t="str">
        <x:f>IF(C988="","",MIN(MAX(0,D988+E988-F988-G988),MAX(0,IF(MONATSBUDGET!$C$56="",0,MONATSBUDGET!$C$56)-SUM(F980:F999)-SUM(H980:H987))))</x:f>
      </x:c>
      <x:c r="I988" s="88" t="str">
        <x:f>IF(C988="","",MAX(0,ROUND(D988+E988-F988-G988-H988,2)))</x:f>
      </x:c>
      <x:c r="J988" s="88" t="str">
        <x:f>IF(C988="","",F988+G988+H988)</x:f>
      </x:c>
      <x:c r="K988" s="88" t="str">
        <x:f>IF(C988="","",MAX(0,SUMIFS(SONDERZAHLUNGEN!$E$9:$E$128,SONDERZAHLUNGEN!$B$9:$B$128,C988,SONDERZAHLUNGEN!$C$9:$C$128,A988,SONDERZAHLUNGEN!$H$9:$H$128,"OK",SONDERZAHLUNGEN!$F$9:$F$128,"Ja")-G988))</x:f>
      </x:c>
    </x:row>
    <x:row r="989" ht="19" customHeight="1">
      <x:c r="A989" s="90" t="n">
        <x:f>MONATSBUDGET!$A$56</x:f>
        <x:v>47696</x:v>
      </x:c>
      <x:c r="B989" t="n">
        <x:f>10</x:f>
        <x:v>10</x:v>
      </x:c>
      <x:c r="C989" t="str">
        <x:f>IF($N$18="","",$N$18)</x:f>
      </x:c>
      <x:c r="D989" s="88" t="str">
        <x:f>IF(C989="","",I969)</x:f>
      </x:c>
      <x:c r="E989" s="88" t="str">
        <x:f>IF(C989="","",ROUND(D989*$P$18/12,2))</x:f>
      </x:c>
      <x:c r="F989" s="88" t="str">
        <x:f>IF(C989="","",MIN(D989+E989,$Q$18))</x:f>
      </x:c>
      <x:c r="G989" s="88" t="str">
        <x:f>IF(C989="","",MIN(MAX(0,D989+E989-F989),SUMIFS(SONDERZAHLUNGEN!$E$9:$E$128,SONDERZAHLUNGEN!$B$9:$B$128,C989,SONDERZAHLUNGEN!$C$9:$C$128,A989,SONDERZAHLUNGEN!$H$9:$H$128,"OK",SONDERZAHLUNGEN!$F$9:$F$128,"Ja")))</x:f>
      </x:c>
      <x:c r="H989" s="88" t="str">
        <x:f>IF(C989="","",MIN(MAX(0,D989+E989-F989-G989),MAX(0,IF(MONATSBUDGET!$C$56="",0,MONATSBUDGET!$C$56)-SUM(F980:F999)-SUM(H980:H988))))</x:f>
      </x:c>
      <x:c r="I989" s="88" t="str">
        <x:f>IF(C989="","",MAX(0,ROUND(D989+E989-F989-G989-H989,2)))</x:f>
      </x:c>
      <x:c r="J989" s="88" t="str">
        <x:f>IF(C989="","",F989+G989+H989)</x:f>
      </x:c>
      <x:c r="K989" s="88" t="str">
        <x:f>IF(C989="","",MAX(0,SUMIFS(SONDERZAHLUNGEN!$E$9:$E$128,SONDERZAHLUNGEN!$B$9:$B$128,C989,SONDERZAHLUNGEN!$C$9:$C$128,A989,SONDERZAHLUNGEN!$H$9:$H$128,"OK",SONDERZAHLUNGEN!$F$9:$F$128,"Ja")-G989))</x:f>
      </x:c>
    </x:row>
    <x:row r="990" ht="19" customHeight="1">
      <x:c r="A990" s="90" t="n">
        <x:f>MONATSBUDGET!$A$56</x:f>
        <x:v>47696</x:v>
      </x:c>
      <x:c r="B990" t="n">
        <x:f>11</x:f>
        <x:v>11</x:v>
      </x:c>
      <x:c r="C990" t="str">
        <x:f>IF($N$19="","",$N$19)</x:f>
      </x:c>
      <x:c r="D990" s="88" t="str">
        <x:f>IF(C990="","",I970)</x:f>
      </x:c>
      <x:c r="E990" s="88" t="str">
        <x:f>IF(C990="","",ROUND(D990*$P$19/12,2))</x:f>
      </x:c>
      <x:c r="F990" s="88" t="str">
        <x:f>IF(C990="","",MIN(D990+E990,$Q$19))</x:f>
      </x:c>
      <x:c r="G990" s="88" t="str">
        <x:f>IF(C990="","",MIN(MAX(0,D990+E990-F990),SUMIFS(SONDERZAHLUNGEN!$E$9:$E$128,SONDERZAHLUNGEN!$B$9:$B$128,C990,SONDERZAHLUNGEN!$C$9:$C$128,A990,SONDERZAHLUNGEN!$H$9:$H$128,"OK",SONDERZAHLUNGEN!$F$9:$F$128,"Ja")))</x:f>
      </x:c>
      <x:c r="H990" s="88" t="str">
        <x:f>IF(C990="","",MIN(MAX(0,D990+E990-F990-G990),MAX(0,IF(MONATSBUDGET!$C$56="",0,MONATSBUDGET!$C$56)-SUM(F980:F999)-SUM(H980:H989))))</x:f>
      </x:c>
      <x:c r="I990" s="88" t="str">
        <x:f>IF(C990="","",MAX(0,ROUND(D990+E990-F990-G990-H990,2)))</x:f>
      </x:c>
      <x:c r="J990" s="88" t="str">
        <x:f>IF(C990="","",F990+G990+H990)</x:f>
      </x:c>
      <x:c r="K990" s="88" t="str">
        <x:f>IF(C990="","",MAX(0,SUMIFS(SONDERZAHLUNGEN!$E$9:$E$128,SONDERZAHLUNGEN!$B$9:$B$128,C990,SONDERZAHLUNGEN!$C$9:$C$128,A990,SONDERZAHLUNGEN!$H$9:$H$128,"OK",SONDERZAHLUNGEN!$F$9:$F$128,"Ja")-G990))</x:f>
      </x:c>
    </x:row>
    <x:row r="991" ht="19" customHeight="1">
      <x:c r="A991" s="90" t="n">
        <x:f>MONATSBUDGET!$A$56</x:f>
        <x:v>47696</x:v>
      </x:c>
      <x:c r="B991" t="n">
        <x:f>12</x:f>
        <x:v>12</x:v>
      </x:c>
      <x:c r="C991" t="str">
        <x:f>IF($N$20="","",$N$20)</x:f>
      </x:c>
      <x:c r="D991" s="88" t="str">
        <x:f>IF(C991="","",I971)</x:f>
      </x:c>
      <x:c r="E991" s="88" t="str">
        <x:f>IF(C991="","",ROUND(D991*$P$20/12,2))</x:f>
      </x:c>
      <x:c r="F991" s="88" t="str">
        <x:f>IF(C991="","",MIN(D991+E991,$Q$20))</x:f>
      </x:c>
      <x:c r="G991" s="88" t="str">
        <x:f>IF(C991="","",MIN(MAX(0,D991+E991-F991),SUMIFS(SONDERZAHLUNGEN!$E$9:$E$128,SONDERZAHLUNGEN!$B$9:$B$128,C991,SONDERZAHLUNGEN!$C$9:$C$128,A991,SONDERZAHLUNGEN!$H$9:$H$128,"OK",SONDERZAHLUNGEN!$F$9:$F$128,"Ja")))</x:f>
      </x:c>
      <x:c r="H991" s="88" t="str">
        <x:f>IF(C991="","",MIN(MAX(0,D991+E991-F991-G991),MAX(0,IF(MONATSBUDGET!$C$56="",0,MONATSBUDGET!$C$56)-SUM(F980:F999)-SUM(H980:H990))))</x:f>
      </x:c>
      <x:c r="I991" s="88" t="str">
        <x:f>IF(C991="","",MAX(0,ROUND(D991+E991-F991-G991-H991,2)))</x:f>
      </x:c>
      <x:c r="J991" s="88" t="str">
        <x:f>IF(C991="","",F991+G991+H991)</x:f>
      </x:c>
      <x:c r="K991" s="88" t="str">
        <x:f>IF(C991="","",MAX(0,SUMIFS(SONDERZAHLUNGEN!$E$9:$E$128,SONDERZAHLUNGEN!$B$9:$B$128,C991,SONDERZAHLUNGEN!$C$9:$C$128,A991,SONDERZAHLUNGEN!$H$9:$H$128,"OK",SONDERZAHLUNGEN!$F$9:$F$128,"Ja")-G991))</x:f>
      </x:c>
    </x:row>
    <x:row r="992" ht="19" customHeight="1">
      <x:c r="A992" s="90" t="n">
        <x:f>MONATSBUDGET!$A$56</x:f>
        <x:v>47696</x:v>
      </x:c>
      <x:c r="B992" t="n">
        <x:f>13</x:f>
        <x:v>13</x:v>
      </x:c>
      <x:c r="C992" t="str">
        <x:f>IF($N$21="","",$N$21)</x:f>
      </x:c>
      <x:c r="D992" s="88" t="str">
        <x:f>IF(C992="","",I972)</x:f>
      </x:c>
      <x:c r="E992" s="88" t="str">
        <x:f>IF(C992="","",ROUND(D992*$P$21/12,2))</x:f>
      </x:c>
      <x:c r="F992" s="88" t="str">
        <x:f>IF(C992="","",MIN(D992+E992,$Q$21))</x:f>
      </x:c>
      <x:c r="G992" s="88" t="str">
        <x:f>IF(C992="","",MIN(MAX(0,D992+E992-F992),SUMIFS(SONDERZAHLUNGEN!$E$9:$E$128,SONDERZAHLUNGEN!$B$9:$B$128,C992,SONDERZAHLUNGEN!$C$9:$C$128,A992,SONDERZAHLUNGEN!$H$9:$H$128,"OK",SONDERZAHLUNGEN!$F$9:$F$128,"Ja")))</x:f>
      </x:c>
      <x:c r="H992" s="88" t="str">
        <x:f>IF(C992="","",MIN(MAX(0,D992+E992-F992-G992),MAX(0,IF(MONATSBUDGET!$C$56="",0,MONATSBUDGET!$C$56)-SUM(F980:F999)-SUM(H980:H991))))</x:f>
      </x:c>
      <x:c r="I992" s="88" t="str">
        <x:f>IF(C992="","",MAX(0,ROUND(D992+E992-F992-G992-H992,2)))</x:f>
      </x:c>
      <x:c r="J992" s="88" t="str">
        <x:f>IF(C992="","",F992+G992+H992)</x:f>
      </x:c>
      <x:c r="K992" s="88" t="str">
        <x:f>IF(C992="","",MAX(0,SUMIFS(SONDERZAHLUNGEN!$E$9:$E$128,SONDERZAHLUNGEN!$B$9:$B$128,C992,SONDERZAHLUNGEN!$C$9:$C$128,A992,SONDERZAHLUNGEN!$H$9:$H$128,"OK",SONDERZAHLUNGEN!$F$9:$F$128,"Ja")-G992))</x:f>
      </x:c>
    </x:row>
    <x:row r="993" ht="19" customHeight="1">
      <x:c r="A993" s="90" t="n">
        <x:f>MONATSBUDGET!$A$56</x:f>
        <x:v>47696</x:v>
      </x:c>
      <x:c r="B993" t="n">
        <x:f>14</x:f>
        <x:v>14</x:v>
      </x:c>
      <x:c r="C993" t="str">
        <x:f>IF($N$22="","",$N$22)</x:f>
      </x:c>
      <x:c r="D993" s="88" t="str">
        <x:f>IF(C993="","",I973)</x:f>
      </x:c>
      <x:c r="E993" s="88" t="str">
        <x:f>IF(C993="","",ROUND(D993*$P$22/12,2))</x:f>
      </x:c>
      <x:c r="F993" s="88" t="str">
        <x:f>IF(C993="","",MIN(D993+E993,$Q$22))</x:f>
      </x:c>
      <x:c r="G993" s="88" t="str">
        <x:f>IF(C993="","",MIN(MAX(0,D993+E993-F993),SUMIFS(SONDERZAHLUNGEN!$E$9:$E$128,SONDERZAHLUNGEN!$B$9:$B$128,C993,SONDERZAHLUNGEN!$C$9:$C$128,A993,SONDERZAHLUNGEN!$H$9:$H$128,"OK",SONDERZAHLUNGEN!$F$9:$F$128,"Ja")))</x:f>
      </x:c>
      <x:c r="H993" s="88" t="str">
        <x:f>IF(C993="","",MIN(MAX(0,D993+E993-F993-G993),MAX(0,IF(MONATSBUDGET!$C$56="",0,MONATSBUDGET!$C$56)-SUM(F980:F999)-SUM(H980:H992))))</x:f>
      </x:c>
      <x:c r="I993" s="88" t="str">
        <x:f>IF(C993="","",MAX(0,ROUND(D993+E993-F993-G993-H993,2)))</x:f>
      </x:c>
      <x:c r="J993" s="88" t="str">
        <x:f>IF(C993="","",F993+G993+H993)</x:f>
      </x:c>
      <x:c r="K993" s="88" t="str">
        <x:f>IF(C993="","",MAX(0,SUMIFS(SONDERZAHLUNGEN!$E$9:$E$128,SONDERZAHLUNGEN!$B$9:$B$128,C993,SONDERZAHLUNGEN!$C$9:$C$128,A993,SONDERZAHLUNGEN!$H$9:$H$128,"OK",SONDERZAHLUNGEN!$F$9:$F$128,"Ja")-G993))</x:f>
      </x:c>
    </x:row>
    <x:row r="994" ht="19" customHeight="1">
      <x:c r="A994" s="90" t="n">
        <x:f>MONATSBUDGET!$A$56</x:f>
        <x:v>47696</x:v>
      </x:c>
      <x:c r="B994" t="n">
        <x:f>15</x:f>
        <x:v>15</x:v>
      </x:c>
      <x:c r="C994" t="str">
        <x:f>IF($N$23="","",$N$23)</x:f>
      </x:c>
      <x:c r="D994" s="88" t="str">
        <x:f>IF(C994="","",I974)</x:f>
      </x:c>
      <x:c r="E994" s="88" t="str">
        <x:f>IF(C994="","",ROUND(D994*$P$23/12,2))</x:f>
      </x:c>
      <x:c r="F994" s="88" t="str">
        <x:f>IF(C994="","",MIN(D994+E994,$Q$23))</x:f>
      </x:c>
      <x:c r="G994" s="88" t="str">
        <x:f>IF(C994="","",MIN(MAX(0,D994+E994-F994),SUMIFS(SONDERZAHLUNGEN!$E$9:$E$128,SONDERZAHLUNGEN!$B$9:$B$128,C994,SONDERZAHLUNGEN!$C$9:$C$128,A994,SONDERZAHLUNGEN!$H$9:$H$128,"OK",SONDERZAHLUNGEN!$F$9:$F$128,"Ja")))</x:f>
      </x:c>
      <x:c r="H994" s="88" t="str">
        <x:f>IF(C994="","",MIN(MAX(0,D994+E994-F994-G994),MAX(0,IF(MONATSBUDGET!$C$56="",0,MONATSBUDGET!$C$56)-SUM(F980:F999)-SUM(H980:H993))))</x:f>
      </x:c>
      <x:c r="I994" s="88" t="str">
        <x:f>IF(C994="","",MAX(0,ROUND(D994+E994-F994-G994-H994,2)))</x:f>
      </x:c>
      <x:c r="J994" s="88" t="str">
        <x:f>IF(C994="","",F994+G994+H994)</x:f>
      </x:c>
      <x:c r="K994" s="88" t="str">
        <x:f>IF(C994="","",MAX(0,SUMIFS(SONDERZAHLUNGEN!$E$9:$E$128,SONDERZAHLUNGEN!$B$9:$B$128,C994,SONDERZAHLUNGEN!$C$9:$C$128,A994,SONDERZAHLUNGEN!$H$9:$H$128,"OK",SONDERZAHLUNGEN!$F$9:$F$128,"Ja")-G994))</x:f>
      </x:c>
    </x:row>
    <x:row r="995" ht="19" customHeight="1">
      <x:c r="A995" s="90" t="n">
        <x:f>MONATSBUDGET!$A$56</x:f>
        <x:v>47696</x:v>
      </x:c>
      <x:c r="B995" t="n">
        <x:f>16</x:f>
        <x:v>16</x:v>
      </x:c>
      <x:c r="C995" t="str">
        <x:f>IF($N$24="","",$N$24)</x:f>
      </x:c>
      <x:c r="D995" s="88" t="str">
        <x:f>IF(C995="","",I975)</x:f>
      </x:c>
      <x:c r="E995" s="88" t="str">
        <x:f>IF(C995="","",ROUND(D995*$P$24/12,2))</x:f>
      </x:c>
      <x:c r="F995" s="88" t="str">
        <x:f>IF(C995="","",MIN(D995+E995,$Q$24))</x:f>
      </x:c>
      <x:c r="G995" s="88" t="str">
        <x:f>IF(C995="","",MIN(MAX(0,D995+E995-F995),SUMIFS(SONDERZAHLUNGEN!$E$9:$E$128,SONDERZAHLUNGEN!$B$9:$B$128,C995,SONDERZAHLUNGEN!$C$9:$C$128,A995,SONDERZAHLUNGEN!$H$9:$H$128,"OK",SONDERZAHLUNGEN!$F$9:$F$128,"Ja")))</x:f>
      </x:c>
      <x:c r="H995" s="88" t="str">
        <x:f>IF(C995="","",MIN(MAX(0,D995+E995-F995-G995),MAX(0,IF(MONATSBUDGET!$C$56="",0,MONATSBUDGET!$C$56)-SUM(F980:F999)-SUM(H980:H994))))</x:f>
      </x:c>
      <x:c r="I995" s="88" t="str">
        <x:f>IF(C995="","",MAX(0,ROUND(D995+E995-F995-G995-H995,2)))</x:f>
      </x:c>
      <x:c r="J995" s="88" t="str">
        <x:f>IF(C995="","",F995+G995+H995)</x:f>
      </x:c>
      <x:c r="K995" s="88" t="str">
        <x:f>IF(C995="","",MAX(0,SUMIFS(SONDERZAHLUNGEN!$E$9:$E$128,SONDERZAHLUNGEN!$B$9:$B$128,C995,SONDERZAHLUNGEN!$C$9:$C$128,A995,SONDERZAHLUNGEN!$H$9:$H$128,"OK",SONDERZAHLUNGEN!$F$9:$F$128,"Ja")-G995))</x:f>
      </x:c>
    </x:row>
    <x:row r="996" ht="19" customHeight="1">
      <x:c r="A996" s="90" t="n">
        <x:f>MONATSBUDGET!$A$56</x:f>
        <x:v>47696</x:v>
      </x:c>
      <x:c r="B996" t="n">
        <x:f>17</x:f>
        <x:v>17</x:v>
      </x:c>
      <x:c r="C996" t="str">
        <x:f>IF($N$25="","",$N$25)</x:f>
      </x:c>
      <x:c r="D996" s="88" t="str">
        <x:f>IF(C996="","",I976)</x:f>
      </x:c>
      <x:c r="E996" s="88" t="str">
        <x:f>IF(C996="","",ROUND(D996*$P$25/12,2))</x:f>
      </x:c>
      <x:c r="F996" s="88" t="str">
        <x:f>IF(C996="","",MIN(D996+E996,$Q$25))</x:f>
      </x:c>
      <x:c r="G996" s="88" t="str">
        <x:f>IF(C996="","",MIN(MAX(0,D996+E996-F996),SUMIFS(SONDERZAHLUNGEN!$E$9:$E$128,SONDERZAHLUNGEN!$B$9:$B$128,C996,SONDERZAHLUNGEN!$C$9:$C$128,A996,SONDERZAHLUNGEN!$H$9:$H$128,"OK",SONDERZAHLUNGEN!$F$9:$F$128,"Ja")))</x:f>
      </x:c>
      <x:c r="H996" s="88" t="str">
        <x:f>IF(C996="","",MIN(MAX(0,D996+E996-F996-G996),MAX(0,IF(MONATSBUDGET!$C$56="",0,MONATSBUDGET!$C$56)-SUM(F980:F999)-SUM(H980:H995))))</x:f>
      </x:c>
      <x:c r="I996" s="88" t="str">
        <x:f>IF(C996="","",MAX(0,ROUND(D996+E996-F996-G996-H996,2)))</x:f>
      </x:c>
      <x:c r="J996" s="88" t="str">
        <x:f>IF(C996="","",F996+G996+H996)</x:f>
      </x:c>
      <x:c r="K996" s="88" t="str">
        <x:f>IF(C996="","",MAX(0,SUMIFS(SONDERZAHLUNGEN!$E$9:$E$128,SONDERZAHLUNGEN!$B$9:$B$128,C996,SONDERZAHLUNGEN!$C$9:$C$128,A996,SONDERZAHLUNGEN!$H$9:$H$128,"OK",SONDERZAHLUNGEN!$F$9:$F$128,"Ja")-G996))</x:f>
      </x:c>
    </x:row>
    <x:row r="997" ht="19" customHeight="1">
      <x:c r="A997" s="90" t="n">
        <x:f>MONATSBUDGET!$A$56</x:f>
        <x:v>47696</x:v>
      </x:c>
      <x:c r="B997" t="n">
        <x:f>18</x:f>
        <x:v>18</x:v>
      </x:c>
      <x:c r="C997" t="str">
        <x:f>IF($N$26="","",$N$26)</x:f>
      </x:c>
      <x:c r="D997" s="88" t="str">
        <x:f>IF(C997="","",I977)</x:f>
      </x:c>
      <x:c r="E997" s="88" t="str">
        <x:f>IF(C997="","",ROUND(D997*$P$26/12,2))</x:f>
      </x:c>
      <x:c r="F997" s="88" t="str">
        <x:f>IF(C997="","",MIN(D997+E997,$Q$26))</x:f>
      </x:c>
      <x:c r="G997" s="88" t="str">
        <x:f>IF(C997="","",MIN(MAX(0,D997+E997-F997),SUMIFS(SONDERZAHLUNGEN!$E$9:$E$128,SONDERZAHLUNGEN!$B$9:$B$128,C997,SONDERZAHLUNGEN!$C$9:$C$128,A997,SONDERZAHLUNGEN!$H$9:$H$128,"OK",SONDERZAHLUNGEN!$F$9:$F$128,"Ja")))</x:f>
      </x:c>
      <x:c r="H997" s="88" t="str">
        <x:f>IF(C997="","",MIN(MAX(0,D997+E997-F997-G997),MAX(0,IF(MONATSBUDGET!$C$56="",0,MONATSBUDGET!$C$56)-SUM(F980:F999)-SUM(H980:H996))))</x:f>
      </x:c>
      <x:c r="I997" s="88" t="str">
        <x:f>IF(C997="","",MAX(0,ROUND(D997+E997-F997-G997-H997,2)))</x:f>
      </x:c>
      <x:c r="J997" s="88" t="str">
        <x:f>IF(C997="","",F997+G997+H997)</x:f>
      </x:c>
      <x:c r="K997" s="88" t="str">
        <x:f>IF(C997="","",MAX(0,SUMIFS(SONDERZAHLUNGEN!$E$9:$E$128,SONDERZAHLUNGEN!$B$9:$B$128,C997,SONDERZAHLUNGEN!$C$9:$C$128,A997,SONDERZAHLUNGEN!$H$9:$H$128,"OK",SONDERZAHLUNGEN!$F$9:$F$128,"Ja")-G997))</x:f>
      </x:c>
    </x:row>
    <x:row r="998" ht="19" customHeight="1">
      <x:c r="A998" s="90" t="n">
        <x:f>MONATSBUDGET!$A$56</x:f>
        <x:v>47696</x:v>
      </x:c>
      <x:c r="B998" t="n">
        <x:f>19</x:f>
        <x:v>19</x:v>
      </x:c>
      <x:c r="C998" t="str">
        <x:f>IF($N$27="","",$N$27)</x:f>
      </x:c>
      <x:c r="D998" s="88" t="str">
        <x:f>IF(C998="","",I978)</x:f>
      </x:c>
      <x:c r="E998" s="88" t="str">
        <x:f>IF(C998="","",ROUND(D998*$P$27/12,2))</x:f>
      </x:c>
      <x:c r="F998" s="88" t="str">
        <x:f>IF(C998="","",MIN(D998+E998,$Q$27))</x:f>
      </x:c>
      <x:c r="G998" s="88" t="str">
        <x:f>IF(C998="","",MIN(MAX(0,D998+E998-F998),SUMIFS(SONDERZAHLUNGEN!$E$9:$E$128,SONDERZAHLUNGEN!$B$9:$B$128,C998,SONDERZAHLUNGEN!$C$9:$C$128,A998,SONDERZAHLUNGEN!$H$9:$H$128,"OK",SONDERZAHLUNGEN!$F$9:$F$128,"Ja")))</x:f>
      </x:c>
      <x:c r="H998" s="88" t="str">
        <x:f>IF(C998="","",MIN(MAX(0,D998+E998-F998-G998),MAX(0,IF(MONATSBUDGET!$C$56="",0,MONATSBUDGET!$C$56)-SUM(F980:F999)-SUM(H980:H997))))</x:f>
      </x:c>
      <x:c r="I998" s="88" t="str">
        <x:f>IF(C998="","",MAX(0,ROUND(D998+E998-F998-G998-H998,2)))</x:f>
      </x:c>
      <x:c r="J998" s="88" t="str">
        <x:f>IF(C998="","",F998+G998+H998)</x:f>
      </x:c>
      <x:c r="K998" s="88" t="str">
        <x:f>IF(C998="","",MAX(0,SUMIFS(SONDERZAHLUNGEN!$E$9:$E$128,SONDERZAHLUNGEN!$B$9:$B$128,C998,SONDERZAHLUNGEN!$C$9:$C$128,A998,SONDERZAHLUNGEN!$H$9:$H$128,"OK",SONDERZAHLUNGEN!$F$9:$F$128,"Ja")-G998))</x:f>
      </x:c>
    </x:row>
    <x:row r="999" ht="19" customHeight="1">
      <x:c r="A999" s="90" t="n">
        <x:f>MONATSBUDGET!$A$56</x:f>
        <x:v>47696</x:v>
      </x:c>
      <x:c r="B999" t="n">
        <x:f>20</x:f>
        <x:v>20</x:v>
      </x:c>
      <x:c r="C999" t="str">
        <x:f>IF($N$28="","",$N$28)</x:f>
      </x:c>
      <x:c r="D999" s="88" t="str">
        <x:f>IF(C999="","",I979)</x:f>
      </x:c>
      <x:c r="E999" s="88" t="str">
        <x:f>IF(C999="","",ROUND(D999*$P$28/12,2))</x:f>
      </x:c>
      <x:c r="F999" s="88" t="str">
        <x:f>IF(C999="","",MIN(D999+E999,$Q$28))</x:f>
      </x:c>
      <x:c r="G999" s="88" t="str">
        <x:f>IF(C999="","",MIN(MAX(0,D999+E999-F999),SUMIFS(SONDERZAHLUNGEN!$E$9:$E$128,SONDERZAHLUNGEN!$B$9:$B$128,C999,SONDERZAHLUNGEN!$C$9:$C$128,A999,SONDERZAHLUNGEN!$H$9:$H$128,"OK",SONDERZAHLUNGEN!$F$9:$F$128,"Ja")))</x:f>
      </x:c>
      <x:c r="H999" s="88" t="str">
        <x:f>IF(C999="","",MIN(MAX(0,D999+E999-F999-G999),MAX(0,IF(MONATSBUDGET!$C$56="",0,MONATSBUDGET!$C$56)-SUM(F980:F999)-SUM(H980:H998))))</x:f>
      </x:c>
      <x:c r="I999" s="88" t="str">
        <x:f>IF(C999="","",MAX(0,ROUND(D999+E999-F999-G999-H999,2)))</x:f>
      </x:c>
      <x:c r="J999" s="88" t="str">
        <x:f>IF(C999="","",F999+G999+H999)</x:f>
      </x:c>
      <x:c r="K999" s="88" t="str">
        <x:f>IF(C999="","",MAX(0,SUMIFS(SONDERZAHLUNGEN!$E$9:$E$128,SONDERZAHLUNGEN!$B$9:$B$128,C999,SONDERZAHLUNGEN!$C$9:$C$128,A999,SONDERZAHLUNGEN!$H$9:$H$128,"OK",SONDERZAHLUNGEN!$F$9:$F$128,"Ja")-G999))</x:f>
      </x:c>
    </x:row>
    <x:row r="1000" ht="19" customHeight="1">
      <x:c r="A1000" s="90" t="n">
        <x:f>MONATSBUDGET!$A$57</x:f>
        <x:v>47727</x:v>
      </x:c>
      <x:c r="B1000" t="n">
        <x:f>1</x:f>
        <x:v>1</x:v>
      </x:c>
      <x:c r="C1000" t="str">
        <x:f>IF($N$9="","",$N$9)</x:f>
      </x:c>
      <x:c r="D1000" s="88" t="str">
        <x:f>IF(C1000="","",I980)</x:f>
      </x:c>
      <x:c r="E1000" s="88" t="str">
        <x:f>IF(C1000="","",ROUND(D1000*$P$9/12,2))</x:f>
      </x:c>
      <x:c r="F1000" s="88" t="str">
        <x:f>IF(C1000="","",MIN(D1000+E1000,$Q$9))</x:f>
      </x:c>
      <x:c r="G1000" s="88" t="str">
        <x:f>IF(C1000="","",MIN(MAX(0,D1000+E1000-F1000),SUMIFS(SONDERZAHLUNGEN!$E$9:$E$128,SONDERZAHLUNGEN!$B$9:$B$128,C1000,SONDERZAHLUNGEN!$C$9:$C$128,A1000,SONDERZAHLUNGEN!$H$9:$H$128,"OK",SONDERZAHLUNGEN!$F$9:$F$128,"Ja")))</x:f>
      </x:c>
      <x:c r="H1000" s="88" t="str">
        <x:f>IF(C1000="","",MIN(MAX(0,D1000+E1000-F1000-G1000),MAX(0,IF(MONATSBUDGET!$C$57="",0,MONATSBUDGET!$C$57)-SUM(F1000:F1019)-0)))</x:f>
      </x:c>
      <x:c r="I1000" s="88" t="str">
        <x:f>IF(C1000="","",MAX(0,ROUND(D1000+E1000-F1000-G1000-H1000,2)))</x:f>
      </x:c>
      <x:c r="J1000" s="88" t="str">
        <x:f>IF(C1000="","",F1000+G1000+H1000)</x:f>
      </x:c>
      <x:c r="K1000" s="88" t="str">
        <x:f>IF(C1000="","",MAX(0,SUMIFS(SONDERZAHLUNGEN!$E$9:$E$128,SONDERZAHLUNGEN!$B$9:$B$128,C1000,SONDERZAHLUNGEN!$C$9:$C$128,A1000,SONDERZAHLUNGEN!$H$9:$H$128,"OK",SONDERZAHLUNGEN!$F$9:$F$128,"Ja")-G1000))</x:f>
      </x:c>
    </x:row>
    <x:row r="1001" ht="19" customHeight="1">
      <x:c r="A1001" s="90" t="n">
        <x:f>MONATSBUDGET!$A$57</x:f>
        <x:v>47727</x:v>
      </x:c>
      <x:c r="B1001" t="n">
        <x:f>2</x:f>
        <x:v>2</x:v>
      </x:c>
      <x:c r="C1001" t="str">
        <x:f>IF($N$10="","",$N$10)</x:f>
      </x:c>
      <x:c r="D1001" s="88" t="str">
        <x:f>IF(C1001="","",I981)</x:f>
      </x:c>
      <x:c r="E1001" s="88" t="str">
        <x:f>IF(C1001="","",ROUND(D1001*$P$10/12,2))</x:f>
      </x:c>
      <x:c r="F1001" s="88" t="str">
        <x:f>IF(C1001="","",MIN(D1001+E1001,$Q$10))</x:f>
      </x:c>
      <x:c r="G1001" s="88" t="str">
        <x:f>IF(C1001="","",MIN(MAX(0,D1001+E1001-F1001),SUMIFS(SONDERZAHLUNGEN!$E$9:$E$128,SONDERZAHLUNGEN!$B$9:$B$128,C1001,SONDERZAHLUNGEN!$C$9:$C$128,A1001,SONDERZAHLUNGEN!$H$9:$H$128,"OK",SONDERZAHLUNGEN!$F$9:$F$128,"Ja")))</x:f>
      </x:c>
      <x:c r="H1001" s="88" t="str">
        <x:f>IF(C1001="","",MIN(MAX(0,D1001+E1001-F1001-G1001),MAX(0,IF(MONATSBUDGET!$C$57="",0,MONATSBUDGET!$C$57)-SUM(F1000:F1019)-SUM(H1000:H1000))))</x:f>
      </x:c>
      <x:c r="I1001" s="88" t="str">
        <x:f>IF(C1001="","",MAX(0,ROUND(D1001+E1001-F1001-G1001-H1001,2)))</x:f>
      </x:c>
      <x:c r="J1001" s="88" t="str">
        <x:f>IF(C1001="","",F1001+G1001+H1001)</x:f>
      </x:c>
      <x:c r="K1001" s="88" t="str">
        <x:f>IF(C1001="","",MAX(0,SUMIFS(SONDERZAHLUNGEN!$E$9:$E$128,SONDERZAHLUNGEN!$B$9:$B$128,C1001,SONDERZAHLUNGEN!$C$9:$C$128,A1001,SONDERZAHLUNGEN!$H$9:$H$128,"OK",SONDERZAHLUNGEN!$F$9:$F$128,"Ja")-G1001))</x:f>
      </x:c>
    </x:row>
    <x:row r="1002" ht="19" customHeight="1">
      <x:c r="A1002" s="90" t="n">
        <x:f>MONATSBUDGET!$A$57</x:f>
        <x:v>47727</x:v>
      </x:c>
      <x:c r="B1002" t="n">
        <x:f>3</x:f>
        <x:v>3</x:v>
      </x:c>
      <x:c r="C1002" t="str">
        <x:f>IF($N$11="","",$N$11)</x:f>
      </x:c>
      <x:c r="D1002" s="88" t="str">
        <x:f>IF(C1002="","",I982)</x:f>
      </x:c>
      <x:c r="E1002" s="88" t="str">
        <x:f>IF(C1002="","",ROUND(D1002*$P$11/12,2))</x:f>
      </x:c>
      <x:c r="F1002" s="88" t="str">
        <x:f>IF(C1002="","",MIN(D1002+E1002,$Q$11))</x:f>
      </x:c>
      <x:c r="G1002" s="88" t="str">
        <x:f>IF(C1002="","",MIN(MAX(0,D1002+E1002-F1002),SUMIFS(SONDERZAHLUNGEN!$E$9:$E$128,SONDERZAHLUNGEN!$B$9:$B$128,C1002,SONDERZAHLUNGEN!$C$9:$C$128,A1002,SONDERZAHLUNGEN!$H$9:$H$128,"OK",SONDERZAHLUNGEN!$F$9:$F$128,"Ja")))</x:f>
      </x:c>
      <x:c r="H1002" s="88" t="str">
        <x:f>IF(C1002="","",MIN(MAX(0,D1002+E1002-F1002-G1002),MAX(0,IF(MONATSBUDGET!$C$57="",0,MONATSBUDGET!$C$57)-SUM(F1000:F1019)-SUM(H1000:H1001))))</x:f>
      </x:c>
      <x:c r="I1002" s="88" t="str">
        <x:f>IF(C1002="","",MAX(0,ROUND(D1002+E1002-F1002-G1002-H1002,2)))</x:f>
      </x:c>
      <x:c r="J1002" s="88" t="str">
        <x:f>IF(C1002="","",F1002+G1002+H1002)</x:f>
      </x:c>
      <x:c r="K1002" s="88" t="str">
        <x:f>IF(C1002="","",MAX(0,SUMIFS(SONDERZAHLUNGEN!$E$9:$E$128,SONDERZAHLUNGEN!$B$9:$B$128,C1002,SONDERZAHLUNGEN!$C$9:$C$128,A1002,SONDERZAHLUNGEN!$H$9:$H$128,"OK",SONDERZAHLUNGEN!$F$9:$F$128,"Ja")-G1002))</x:f>
      </x:c>
    </x:row>
    <x:row r="1003" ht="19" customHeight="1">
      <x:c r="A1003" s="90" t="n">
        <x:f>MONATSBUDGET!$A$57</x:f>
        <x:v>47727</x:v>
      </x:c>
      <x:c r="B1003" t="n">
        <x:f>4</x:f>
        <x:v>4</x:v>
      </x:c>
      <x:c r="C1003" t="str">
        <x:f>IF($N$12="","",$N$12)</x:f>
      </x:c>
      <x:c r="D1003" s="88" t="str">
        <x:f>IF(C1003="","",I983)</x:f>
      </x:c>
      <x:c r="E1003" s="88" t="str">
        <x:f>IF(C1003="","",ROUND(D1003*$P$12/12,2))</x:f>
      </x:c>
      <x:c r="F1003" s="88" t="str">
        <x:f>IF(C1003="","",MIN(D1003+E1003,$Q$12))</x:f>
      </x:c>
      <x:c r="G1003" s="88" t="str">
        <x:f>IF(C1003="","",MIN(MAX(0,D1003+E1003-F1003),SUMIFS(SONDERZAHLUNGEN!$E$9:$E$128,SONDERZAHLUNGEN!$B$9:$B$128,C1003,SONDERZAHLUNGEN!$C$9:$C$128,A1003,SONDERZAHLUNGEN!$H$9:$H$128,"OK",SONDERZAHLUNGEN!$F$9:$F$128,"Ja")))</x:f>
      </x:c>
      <x:c r="H1003" s="88" t="str">
        <x:f>IF(C1003="","",MIN(MAX(0,D1003+E1003-F1003-G1003),MAX(0,IF(MONATSBUDGET!$C$57="",0,MONATSBUDGET!$C$57)-SUM(F1000:F1019)-SUM(H1000:H1002))))</x:f>
      </x:c>
      <x:c r="I1003" s="88" t="str">
        <x:f>IF(C1003="","",MAX(0,ROUND(D1003+E1003-F1003-G1003-H1003,2)))</x:f>
      </x:c>
      <x:c r="J1003" s="88" t="str">
        <x:f>IF(C1003="","",F1003+G1003+H1003)</x:f>
      </x:c>
      <x:c r="K1003" s="88" t="str">
        <x:f>IF(C1003="","",MAX(0,SUMIFS(SONDERZAHLUNGEN!$E$9:$E$128,SONDERZAHLUNGEN!$B$9:$B$128,C1003,SONDERZAHLUNGEN!$C$9:$C$128,A1003,SONDERZAHLUNGEN!$H$9:$H$128,"OK",SONDERZAHLUNGEN!$F$9:$F$128,"Ja")-G1003))</x:f>
      </x:c>
    </x:row>
    <x:row r="1004" ht="19" customHeight="1">
      <x:c r="A1004" s="90" t="n">
        <x:f>MONATSBUDGET!$A$57</x:f>
        <x:v>47727</x:v>
      </x:c>
      <x:c r="B1004" t="n">
        <x:f>5</x:f>
        <x:v>5</x:v>
      </x:c>
      <x:c r="C1004" t="str">
        <x:f>IF($N$13="","",$N$13)</x:f>
      </x:c>
      <x:c r="D1004" s="88" t="str">
        <x:f>IF(C1004="","",I984)</x:f>
      </x:c>
      <x:c r="E1004" s="88" t="str">
        <x:f>IF(C1004="","",ROUND(D1004*$P$13/12,2))</x:f>
      </x:c>
      <x:c r="F1004" s="88" t="str">
        <x:f>IF(C1004="","",MIN(D1004+E1004,$Q$13))</x:f>
      </x:c>
      <x:c r="G1004" s="88" t="str">
        <x:f>IF(C1004="","",MIN(MAX(0,D1004+E1004-F1004),SUMIFS(SONDERZAHLUNGEN!$E$9:$E$128,SONDERZAHLUNGEN!$B$9:$B$128,C1004,SONDERZAHLUNGEN!$C$9:$C$128,A1004,SONDERZAHLUNGEN!$H$9:$H$128,"OK",SONDERZAHLUNGEN!$F$9:$F$128,"Ja")))</x:f>
      </x:c>
      <x:c r="H1004" s="88" t="str">
        <x:f>IF(C1004="","",MIN(MAX(0,D1004+E1004-F1004-G1004),MAX(0,IF(MONATSBUDGET!$C$57="",0,MONATSBUDGET!$C$57)-SUM(F1000:F1019)-SUM(H1000:H1003))))</x:f>
      </x:c>
      <x:c r="I1004" s="88" t="str">
        <x:f>IF(C1004="","",MAX(0,ROUND(D1004+E1004-F1004-G1004-H1004,2)))</x:f>
      </x:c>
      <x:c r="J1004" s="88" t="str">
        <x:f>IF(C1004="","",F1004+G1004+H1004)</x:f>
      </x:c>
      <x:c r="K1004" s="88" t="str">
        <x:f>IF(C1004="","",MAX(0,SUMIFS(SONDERZAHLUNGEN!$E$9:$E$128,SONDERZAHLUNGEN!$B$9:$B$128,C1004,SONDERZAHLUNGEN!$C$9:$C$128,A1004,SONDERZAHLUNGEN!$H$9:$H$128,"OK",SONDERZAHLUNGEN!$F$9:$F$128,"Ja")-G1004))</x:f>
      </x:c>
    </x:row>
    <x:row r="1005" ht="19" customHeight="1">
      <x:c r="A1005" s="90" t="n">
        <x:f>MONATSBUDGET!$A$57</x:f>
        <x:v>47727</x:v>
      </x:c>
      <x:c r="B1005" t="n">
        <x:f>6</x:f>
        <x:v>6</x:v>
      </x:c>
      <x:c r="C1005" t="str">
        <x:f>IF($N$14="","",$N$14)</x:f>
      </x:c>
      <x:c r="D1005" s="88" t="str">
        <x:f>IF(C1005="","",I985)</x:f>
      </x:c>
      <x:c r="E1005" s="88" t="str">
        <x:f>IF(C1005="","",ROUND(D1005*$P$14/12,2))</x:f>
      </x:c>
      <x:c r="F1005" s="88" t="str">
        <x:f>IF(C1005="","",MIN(D1005+E1005,$Q$14))</x:f>
      </x:c>
      <x:c r="G1005" s="88" t="str">
        <x:f>IF(C1005="","",MIN(MAX(0,D1005+E1005-F1005),SUMIFS(SONDERZAHLUNGEN!$E$9:$E$128,SONDERZAHLUNGEN!$B$9:$B$128,C1005,SONDERZAHLUNGEN!$C$9:$C$128,A1005,SONDERZAHLUNGEN!$H$9:$H$128,"OK",SONDERZAHLUNGEN!$F$9:$F$128,"Ja")))</x:f>
      </x:c>
      <x:c r="H1005" s="88" t="str">
        <x:f>IF(C1005="","",MIN(MAX(0,D1005+E1005-F1005-G1005),MAX(0,IF(MONATSBUDGET!$C$57="",0,MONATSBUDGET!$C$57)-SUM(F1000:F1019)-SUM(H1000:H1004))))</x:f>
      </x:c>
      <x:c r="I1005" s="88" t="str">
        <x:f>IF(C1005="","",MAX(0,ROUND(D1005+E1005-F1005-G1005-H1005,2)))</x:f>
      </x:c>
      <x:c r="J1005" s="88" t="str">
        <x:f>IF(C1005="","",F1005+G1005+H1005)</x:f>
      </x:c>
      <x:c r="K1005" s="88" t="str">
        <x:f>IF(C1005="","",MAX(0,SUMIFS(SONDERZAHLUNGEN!$E$9:$E$128,SONDERZAHLUNGEN!$B$9:$B$128,C1005,SONDERZAHLUNGEN!$C$9:$C$128,A1005,SONDERZAHLUNGEN!$H$9:$H$128,"OK",SONDERZAHLUNGEN!$F$9:$F$128,"Ja")-G1005))</x:f>
      </x:c>
    </x:row>
    <x:row r="1006" ht="19" customHeight="1">
      <x:c r="A1006" s="90" t="n">
        <x:f>MONATSBUDGET!$A$57</x:f>
        <x:v>47727</x:v>
      </x:c>
      <x:c r="B1006" t="n">
        <x:f>7</x:f>
        <x:v>7</x:v>
      </x:c>
      <x:c r="C1006" t="str">
        <x:f>IF($N$15="","",$N$15)</x:f>
      </x:c>
      <x:c r="D1006" s="88" t="str">
        <x:f>IF(C1006="","",I986)</x:f>
      </x:c>
      <x:c r="E1006" s="88" t="str">
        <x:f>IF(C1006="","",ROUND(D1006*$P$15/12,2))</x:f>
      </x:c>
      <x:c r="F1006" s="88" t="str">
        <x:f>IF(C1006="","",MIN(D1006+E1006,$Q$15))</x:f>
      </x:c>
      <x:c r="G1006" s="88" t="str">
        <x:f>IF(C1006="","",MIN(MAX(0,D1006+E1006-F1006),SUMIFS(SONDERZAHLUNGEN!$E$9:$E$128,SONDERZAHLUNGEN!$B$9:$B$128,C1006,SONDERZAHLUNGEN!$C$9:$C$128,A1006,SONDERZAHLUNGEN!$H$9:$H$128,"OK",SONDERZAHLUNGEN!$F$9:$F$128,"Ja")))</x:f>
      </x:c>
      <x:c r="H1006" s="88" t="str">
        <x:f>IF(C1006="","",MIN(MAX(0,D1006+E1006-F1006-G1006),MAX(0,IF(MONATSBUDGET!$C$57="",0,MONATSBUDGET!$C$57)-SUM(F1000:F1019)-SUM(H1000:H1005))))</x:f>
      </x:c>
      <x:c r="I1006" s="88" t="str">
        <x:f>IF(C1006="","",MAX(0,ROUND(D1006+E1006-F1006-G1006-H1006,2)))</x:f>
      </x:c>
      <x:c r="J1006" s="88" t="str">
        <x:f>IF(C1006="","",F1006+G1006+H1006)</x:f>
      </x:c>
      <x:c r="K1006" s="88" t="str">
        <x:f>IF(C1006="","",MAX(0,SUMIFS(SONDERZAHLUNGEN!$E$9:$E$128,SONDERZAHLUNGEN!$B$9:$B$128,C1006,SONDERZAHLUNGEN!$C$9:$C$128,A1006,SONDERZAHLUNGEN!$H$9:$H$128,"OK",SONDERZAHLUNGEN!$F$9:$F$128,"Ja")-G1006))</x:f>
      </x:c>
    </x:row>
    <x:row r="1007" ht="19" customHeight="1">
      <x:c r="A1007" s="90" t="n">
        <x:f>MONATSBUDGET!$A$57</x:f>
        <x:v>47727</x:v>
      </x:c>
      <x:c r="B1007" t="n">
        <x:f>8</x:f>
        <x:v>8</x:v>
      </x:c>
      <x:c r="C1007" t="str">
        <x:f>IF($N$16="","",$N$16)</x:f>
      </x:c>
      <x:c r="D1007" s="88" t="str">
        <x:f>IF(C1007="","",I987)</x:f>
      </x:c>
      <x:c r="E1007" s="88" t="str">
        <x:f>IF(C1007="","",ROUND(D1007*$P$16/12,2))</x:f>
      </x:c>
      <x:c r="F1007" s="88" t="str">
        <x:f>IF(C1007="","",MIN(D1007+E1007,$Q$16))</x:f>
      </x:c>
      <x:c r="G1007" s="88" t="str">
        <x:f>IF(C1007="","",MIN(MAX(0,D1007+E1007-F1007),SUMIFS(SONDERZAHLUNGEN!$E$9:$E$128,SONDERZAHLUNGEN!$B$9:$B$128,C1007,SONDERZAHLUNGEN!$C$9:$C$128,A1007,SONDERZAHLUNGEN!$H$9:$H$128,"OK",SONDERZAHLUNGEN!$F$9:$F$128,"Ja")))</x:f>
      </x:c>
      <x:c r="H1007" s="88" t="str">
        <x:f>IF(C1007="","",MIN(MAX(0,D1007+E1007-F1007-G1007),MAX(0,IF(MONATSBUDGET!$C$57="",0,MONATSBUDGET!$C$57)-SUM(F1000:F1019)-SUM(H1000:H1006))))</x:f>
      </x:c>
      <x:c r="I1007" s="88" t="str">
        <x:f>IF(C1007="","",MAX(0,ROUND(D1007+E1007-F1007-G1007-H1007,2)))</x:f>
      </x:c>
      <x:c r="J1007" s="88" t="str">
        <x:f>IF(C1007="","",F1007+G1007+H1007)</x:f>
      </x:c>
      <x:c r="K1007" s="88" t="str">
        <x:f>IF(C1007="","",MAX(0,SUMIFS(SONDERZAHLUNGEN!$E$9:$E$128,SONDERZAHLUNGEN!$B$9:$B$128,C1007,SONDERZAHLUNGEN!$C$9:$C$128,A1007,SONDERZAHLUNGEN!$H$9:$H$128,"OK",SONDERZAHLUNGEN!$F$9:$F$128,"Ja")-G1007))</x:f>
      </x:c>
    </x:row>
    <x:row r="1008" ht="19" customHeight="1">
      <x:c r="A1008" s="90" t="n">
        <x:f>MONATSBUDGET!$A$57</x:f>
        <x:v>47727</x:v>
      </x:c>
      <x:c r="B1008" t="n">
        <x:f>9</x:f>
        <x:v>9</x:v>
      </x:c>
      <x:c r="C1008" t="str">
        <x:f>IF($N$17="","",$N$17)</x:f>
      </x:c>
      <x:c r="D1008" s="88" t="str">
        <x:f>IF(C1008="","",I988)</x:f>
      </x:c>
      <x:c r="E1008" s="88" t="str">
        <x:f>IF(C1008="","",ROUND(D1008*$P$17/12,2))</x:f>
      </x:c>
      <x:c r="F1008" s="88" t="str">
        <x:f>IF(C1008="","",MIN(D1008+E1008,$Q$17))</x:f>
      </x:c>
      <x:c r="G1008" s="88" t="str">
        <x:f>IF(C1008="","",MIN(MAX(0,D1008+E1008-F1008),SUMIFS(SONDERZAHLUNGEN!$E$9:$E$128,SONDERZAHLUNGEN!$B$9:$B$128,C1008,SONDERZAHLUNGEN!$C$9:$C$128,A1008,SONDERZAHLUNGEN!$H$9:$H$128,"OK",SONDERZAHLUNGEN!$F$9:$F$128,"Ja")))</x:f>
      </x:c>
      <x:c r="H1008" s="88" t="str">
        <x:f>IF(C1008="","",MIN(MAX(0,D1008+E1008-F1008-G1008),MAX(0,IF(MONATSBUDGET!$C$57="",0,MONATSBUDGET!$C$57)-SUM(F1000:F1019)-SUM(H1000:H1007))))</x:f>
      </x:c>
      <x:c r="I1008" s="88" t="str">
        <x:f>IF(C1008="","",MAX(0,ROUND(D1008+E1008-F1008-G1008-H1008,2)))</x:f>
      </x:c>
      <x:c r="J1008" s="88" t="str">
        <x:f>IF(C1008="","",F1008+G1008+H1008)</x:f>
      </x:c>
      <x:c r="K1008" s="88" t="str">
        <x:f>IF(C1008="","",MAX(0,SUMIFS(SONDERZAHLUNGEN!$E$9:$E$128,SONDERZAHLUNGEN!$B$9:$B$128,C1008,SONDERZAHLUNGEN!$C$9:$C$128,A1008,SONDERZAHLUNGEN!$H$9:$H$128,"OK",SONDERZAHLUNGEN!$F$9:$F$128,"Ja")-G1008))</x:f>
      </x:c>
    </x:row>
    <x:row r="1009" ht="19" customHeight="1">
      <x:c r="A1009" s="90" t="n">
        <x:f>MONATSBUDGET!$A$57</x:f>
        <x:v>47727</x:v>
      </x:c>
      <x:c r="B1009" t="n">
        <x:f>10</x:f>
        <x:v>10</x:v>
      </x:c>
      <x:c r="C1009" t="str">
        <x:f>IF($N$18="","",$N$18)</x:f>
      </x:c>
      <x:c r="D1009" s="88" t="str">
        <x:f>IF(C1009="","",I989)</x:f>
      </x:c>
      <x:c r="E1009" s="88" t="str">
        <x:f>IF(C1009="","",ROUND(D1009*$P$18/12,2))</x:f>
      </x:c>
      <x:c r="F1009" s="88" t="str">
        <x:f>IF(C1009="","",MIN(D1009+E1009,$Q$18))</x:f>
      </x:c>
      <x:c r="G1009" s="88" t="str">
        <x:f>IF(C1009="","",MIN(MAX(0,D1009+E1009-F1009),SUMIFS(SONDERZAHLUNGEN!$E$9:$E$128,SONDERZAHLUNGEN!$B$9:$B$128,C1009,SONDERZAHLUNGEN!$C$9:$C$128,A1009,SONDERZAHLUNGEN!$H$9:$H$128,"OK",SONDERZAHLUNGEN!$F$9:$F$128,"Ja")))</x:f>
      </x:c>
      <x:c r="H1009" s="88" t="str">
        <x:f>IF(C1009="","",MIN(MAX(0,D1009+E1009-F1009-G1009),MAX(0,IF(MONATSBUDGET!$C$57="",0,MONATSBUDGET!$C$57)-SUM(F1000:F1019)-SUM(H1000:H1008))))</x:f>
      </x:c>
      <x:c r="I1009" s="88" t="str">
        <x:f>IF(C1009="","",MAX(0,ROUND(D1009+E1009-F1009-G1009-H1009,2)))</x:f>
      </x:c>
      <x:c r="J1009" s="88" t="str">
        <x:f>IF(C1009="","",F1009+G1009+H1009)</x:f>
      </x:c>
      <x:c r="K1009" s="88" t="str">
        <x:f>IF(C1009="","",MAX(0,SUMIFS(SONDERZAHLUNGEN!$E$9:$E$128,SONDERZAHLUNGEN!$B$9:$B$128,C1009,SONDERZAHLUNGEN!$C$9:$C$128,A1009,SONDERZAHLUNGEN!$H$9:$H$128,"OK",SONDERZAHLUNGEN!$F$9:$F$128,"Ja")-G1009))</x:f>
      </x:c>
    </x:row>
    <x:row r="1010" ht="19" customHeight="1">
      <x:c r="A1010" s="90" t="n">
        <x:f>MONATSBUDGET!$A$57</x:f>
        <x:v>47727</x:v>
      </x:c>
      <x:c r="B1010" t="n">
        <x:f>11</x:f>
        <x:v>11</x:v>
      </x:c>
      <x:c r="C1010" t="str">
        <x:f>IF($N$19="","",$N$19)</x:f>
      </x:c>
      <x:c r="D1010" s="88" t="str">
        <x:f>IF(C1010="","",I990)</x:f>
      </x:c>
      <x:c r="E1010" s="88" t="str">
        <x:f>IF(C1010="","",ROUND(D1010*$P$19/12,2))</x:f>
      </x:c>
      <x:c r="F1010" s="88" t="str">
        <x:f>IF(C1010="","",MIN(D1010+E1010,$Q$19))</x:f>
      </x:c>
      <x:c r="G1010" s="88" t="str">
        <x:f>IF(C1010="","",MIN(MAX(0,D1010+E1010-F1010),SUMIFS(SONDERZAHLUNGEN!$E$9:$E$128,SONDERZAHLUNGEN!$B$9:$B$128,C1010,SONDERZAHLUNGEN!$C$9:$C$128,A1010,SONDERZAHLUNGEN!$H$9:$H$128,"OK",SONDERZAHLUNGEN!$F$9:$F$128,"Ja")))</x:f>
      </x:c>
      <x:c r="H1010" s="88" t="str">
        <x:f>IF(C1010="","",MIN(MAX(0,D1010+E1010-F1010-G1010),MAX(0,IF(MONATSBUDGET!$C$57="",0,MONATSBUDGET!$C$57)-SUM(F1000:F1019)-SUM(H1000:H1009))))</x:f>
      </x:c>
      <x:c r="I1010" s="88" t="str">
        <x:f>IF(C1010="","",MAX(0,ROUND(D1010+E1010-F1010-G1010-H1010,2)))</x:f>
      </x:c>
      <x:c r="J1010" s="88" t="str">
        <x:f>IF(C1010="","",F1010+G1010+H1010)</x:f>
      </x:c>
      <x:c r="K1010" s="88" t="str">
        <x:f>IF(C1010="","",MAX(0,SUMIFS(SONDERZAHLUNGEN!$E$9:$E$128,SONDERZAHLUNGEN!$B$9:$B$128,C1010,SONDERZAHLUNGEN!$C$9:$C$128,A1010,SONDERZAHLUNGEN!$H$9:$H$128,"OK",SONDERZAHLUNGEN!$F$9:$F$128,"Ja")-G1010))</x:f>
      </x:c>
    </x:row>
    <x:row r="1011" ht="19" customHeight="1">
      <x:c r="A1011" s="90" t="n">
        <x:f>MONATSBUDGET!$A$57</x:f>
        <x:v>47727</x:v>
      </x:c>
      <x:c r="B1011" t="n">
        <x:f>12</x:f>
        <x:v>12</x:v>
      </x:c>
      <x:c r="C1011" t="str">
        <x:f>IF($N$20="","",$N$20)</x:f>
      </x:c>
      <x:c r="D1011" s="88" t="str">
        <x:f>IF(C1011="","",I991)</x:f>
      </x:c>
      <x:c r="E1011" s="88" t="str">
        <x:f>IF(C1011="","",ROUND(D1011*$P$20/12,2))</x:f>
      </x:c>
      <x:c r="F1011" s="88" t="str">
        <x:f>IF(C1011="","",MIN(D1011+E1011,$Q$20))</x:f>
      </x:c>
      <x:c r="G1011" s="88" t="str">
        <x:f>IF(C1011="","",MIN(MAX(0,D1011+E1011-F1011),SUMIFS(SONDERZAHLUNGEN!$E$9:$E$128,SONDERZAHLUNGEN!$B$9:$B$128,C1011,SONDERZAHLUNGEN!$C$9:$C$128,A1011,SONDERZAHLUNGEN!$H$9:$H$128,"OK",SONDERZAHLUNGEN!$F$9:$F$128,"Ja")))</x:f>
      </x:c>
      <x:c r="H1011" s="88" t="str">
        <x:f>IF(C1011="","",MIN(MAX(0,D1011+E1011-F1011-G1011),MAX(0,IF(MONATSBUDGET!$C$57="",0,MONATSBUDGET!$C$57)-SUM(F1000:F1019)-SUM(H1000:H1010))))</x:f>
      </x:c>
      <x:c r="I1011" s="88" t="str">
        <x:f>IF(C1011="","",MAX(0,ROUND(D1011+E1011-F1011-G1011-H1011,2)))</x:f>
      </x:c>
      <x:c r="J1011" s="88" t="str">
        <x:f>IF(C1011="","",F1011+G1011+H1011)</x:f>
      </x:c>
      <x:c r="K1011" s="88" t="str">
        <x:f>IF(C1011="","",MAX(0,SUMIFS(SONDERZAHLUNGEN!$E$9:$E$128,SONDERZAHLUNGEN!$B$9:$B$128,C1011,SONDERZAHLUNGEN!$C$9:$C$128,A1011,SONDERZAHLUNGEN!$H$9:$H$128,"OK",SONDERZAHLUNGEN!$F$9:$F$128,"Ja")-G1011))</x:f>
      </x:c>
    </x:row>
    <x:row r="1012" ht="19" customHeight="1">
      <x:c r="A1012" s="90" t="n">
        <x:f>MONATSBUDGET!$A$57</x:f>
        <x:v>47727</x:v>
      </x:c>
      <x:c r="B1012" t="n">
        <x:f>13</x:f>
        <x:v>13</x:v>
      </x:c>
      <x:c r="C1012" t="str">
        <x:f>IF($N$21="","",$N$21)</x:f>
      </x:c>
      <x:c r="D1012" s="88" t="str">
        <x:f>IF(C1012="","",I992)</x:f>
      </x:c>
      <x:c r="E1012" s="88" t="str">
        <x:f>IF(C1012="","",ROUND(D1012*$P$21/12,2))</x:f>
      </x:c>
      <x:c r="F1012" s="88" t="str">
        <x:f>IF(C1012="","",MIN(D1012+E1012,$Q$21))</x:f>
      </x:c>
      <x:c r="G1012" s="88" t="str">
        <x:f>IF(C1012="","",MIN(MAX(0,D1012+E1012-F1012),SUMIFS(SONDERZAHLUNGEN!$E$9:$E$128,SONDERZAHLUNGEN!$B$9:$B$128,C1012,SONDERZAHLUNGEN!$C$9:$C$128,A1012,SONDERZAHLUNGEN!$H$9:$H$128,"OK",SONDERZAHLUNGEN!$F$9:$F$128,"Ja")))</x:f>
      </x:c>
      <x:c r="H1012" s="88" t="str">
        <x:f>IF(C1012="","",MIN(MAX(0,D1012+E1012-F1012-G1012),MAX(0,IF(MONATSBUDGET!$C$57="",0,MONATSBUDGET!$C$57)-SUM(F1000:F1019)-SUM(H1000:H1011))))</x:f>
      </x:c>
      <x:c r="I1012" s="88" t="str">
        <x:f>IF(C1012="","",MAX(0,ROUND(D1012+E1012-F1012-G1012-H1012,2)))</x:f>
      </x:c>
      <x:c r="J1012" s="88" t="str">
        <x:f>IF(C1012="","",F1012+G1012+H1012)</x:f>
      </x:c>
      <x:c r="K1012" s="88" t="str">
        <x:f>IF(C1012="","",MAX(0,SUMIFS(SONDERZAHLUNGEN!$E$9:$E$128,SONDERZAHLUNGEN!$B$9:$B$128,C1012,SONDERZAHLUNGEN!$C$9:$C$128,A1012,SONDERZAHLUNGEN!$H$9:$H$128,"OK",SONDERZAHLUNGEN!$F$9:$F$128,"Ja")-G1012))</x:f>
      </x:c>
    </x:row>
    <x:row r="1013" ht="19" customHeight="1">
      <x:c r="A1013" s="90" t="n">
        <x:f>MONATSBUDGET!$A$57</x:f>
        <x:v>47727</x:v>
      </x:c>
      <x:c r="B1013" t="n">
        <x:f>14</x:f>
        <x:v>14</x:v>
      </x:c>
      <x:c r="C1013" t="str">
        <x:f>IF($N$22="","",$N$22)</x:f>
      </x:c>
      <x:c r="D1013" s="88" t="str">
        <x:f>IF(C1013="","",I993)</x:f>
      </x:c>
      <x:c r="E1013" s="88" t="str">
        <x:f>IF(C1013="","",ROUND(D1013*$P$22/12,2))</x:f>
      </x:c>
      <x:c r="F1013" s="88" t="str">
        <x:f>IF(C1013="","",MIN(D1013+E1013,$Q$22))</x:f>
      </x:c>
      <x:c r="G1013" s="88" t="str">
        <x:f>IF(C1013="","",MIN(MAX(0,D1013+E1013-F1013),SUMIFS(SONDERZAHLUNGEN!$E$9:$E$128,SONDERZAHLUNGEN!$B$9:$B$128,C1013,SONDERZAHLUNGEN!$C$9:$C$128,A1013,SONDERZAHLUNGEN!$H$9:$H$128,"OK",SONDERZAHLUNGEN!$F$9:$F$128,"Ja")))</x:f>
      </x:c>
      <x:c r="H1013" s="88" t="str">
        <x:f>IF(C1013="","",MIN(MAX(0,D1013+E1013-F1013-G1013),MAX(0,IF(MONATSBUDGET!$C$57="",0,MONATSBUDGET!$C$57)-SUM(F1000:F1019)-SUM(H1000:H1012))))</x:f>
      </x:c>
      <x:c r="I1013" s="88" t="str">
        <x:f>IF(C1013="","",MAX(0,ROUND(D1013+E1013-F1013-G1013-H1013,2)))</x:f>
      </x:c>
      <x:c r="J1013" s="88" t="str">
        <x:f>IF(C1013="","",F1013+G1013+H1013)</x:f>
      </x:c>
      <x:c r="K1013" s="88" t="str">
        <x:f>IF(C1013="","",MAX(0,SUMIFS(SONDERZAHLUNGEN!$E$9:$E$128,SONDERZAHLUNGEN!$B$9:$B$128,C1013,SONDERZAHLUNGEN!$C$9:$C$128,A1013,SONDERZAHLUNGEN!$H$9:$H$128,"OK",SONDERZAHLUNGEN!$F$9:$F$128,"Ja")-G1013))</x:f>
      </x:c>
    </x:row>
    <x:row r="1014" ht="19" customHeight="1">
      <x:c r="A1014" s="90" t="n">
        <x:f>MONATSBUDGET!$A$57</x:f>
        <x:v>47727</x:v>
      </x:c>
      <x:c r="B1014" t="n">
        <x:f>15</x:f>
        <x:v>15</x:v>
      </x:c>
      <x:c r="C1014" t="str">
        <x:f>IF($N$23="","",$N$23)</x:f>
      </x:c>
      <x:c r="D1014" s="88" t="str">
        <x:f>IF(C1014="","",I994)</x:f>
      </x:c>
      <x:c r="E1014" s="88" t="str">
        <x:f>IF(C1014="","",ROUND(D1014*$P$23/12,2))</x:f>
      </x:c>
      <x:c r="F1014" s="88" t="str">
        <x:f>IF(C1014="","",MIN(D1014+E1014,$Q$23))</x:f>
      </x:c>
      <x:c r="G1014" s="88" t="str">
        <x:f>IF(C1014="","",MIN(MAX(0,D1014+E1014-F1014),SUMIFS(SONDERZAHLUNGEN!$E$9:$E$128,SONDERZAHLUNGEN!$B$9:$B$128,C1014,SONDERZAHLUNGEN!$C$9:$C$128,A1014,SONDERZAHLUNGEN!$H$9:$H$128,"OK",SONDERZAHLUNGEN!$F$9:$F$128,"Ja")))</x:f>
      </x:c>
      <x:c r="H1014" s="88" t="str">
        <x:f>IF(C1014="","",MIN(MAX(0,D1014+E1014-F1014-G1014),MAX(0,IF(MONATSBUDGET!$C$57="",0,MONATSBUDGET!$C$57)-SUM(F1000:F1019)-SUM(H1000:H1013))))</x:f>
      </x:c>
      <x:c r="I1014" s="88" t="str">
        <x:f>IF(C1014="","",MAX(0,ROUND(D1014+E1014-F1014-G1014-H1014,2)))</x:f>
      </x:c>
      <x:c r="J1014" s="88" t="str">
        <x:f>IF(C1014="","",F1014+G1014+H1014)</x:f>
      </x:c>
      <x:c r="K1014" s="88" t="str">
        <x:f>IF(C1014="","",MAX(0,SUMIFS(SONDERZAHLUNGEN!$E$9:$E$128,SONDERZAHLUNGEN!$B$9:$B$128,C1014,SONDERZAHLUNGEN!$C$9:$C$128,A1014,SONDERZAHLUNGEN!$H$9:$H$128,"OK",SONDERZAHLUNGEN!$F$9:$F$128,"Ja")-G1014))</x:f>
      </x:c>
    </x:row>
    <x:row r="1015" ht="19" customHeight="1">
      <x:c r="A1015" s="90" t="n">
        <x:f>MONATSBUDGET!$A$57</x:f>
        <x:v>47727</x:v>
      </x:c>
      <x:c r="B1015" t="n">
        <x:f>16</x:f>
        <x:v>16</x:v>
      </x:c>
      <x:c r="C1015" t="str">
        <x:f>IF($N$24="","",$N$24)</x:f>
      </x:c>
      <x:c r="D1015" s="88" t="str">
        <x:f>IF(C1015="","",I995)</x:f>
      </x:c>
      <x:c r="E1015" s="88" t="str">
        <x:f>IF(C1015="","",ROUND(D1015*$P$24/12,2))</x:f>
      </x:c>
      <x:c r="F1015" s="88" t="str">
        <x:f>IF(C1015="","",MIN(D1015+E1015,$Q$24))</x:f>
      </x:c>
      <x:c r="G1015" s="88" t="str">
        <x:f>IF(C1015="","",MIN(MAX(0,D1015+E1015-F1015),SUMIFS(SONDERZAHLUNGEN!$E$9:$E$128,SONDERZAHLUNGEN!$B$9:$B$128,C1015,SONDERZAHLUNGEN!$C$9:$C$128,A1015,SONDERZAHLUNGEN!$H$9:$H$128,"OK",SONDERZAHLUNGEN!$F$9:$F$128,"Ja")))</x:f>
      </x:c>
      <x:c r="H1015" s="88" t="str">
        <x:f>IF(C1015="","",MIN(MAX(0,D1015+E1015-F1015-G1015),MAX(0,IF(MONATSBUDGET!$C$57="",0,MONATSBUDGET!$C$57)-SUM(F1000:F1019)-SUM(H1000:H1014))))</x:f>
      </x:c>
      <x:c r="I1015" s="88" t="str">
        <x:f>IF(C1015="","",MAX(0,ROUND(D1015+E1015-F1015-G1015-H1015,2)))</x:f>
      </x:c>
      <x:c r="J1015" s="88" t="str">
        <x:f>IF(C1015="","",F1015+G1015+H1015)</x:f>
      </x:c>
      <x:c r="K1015" s="88" t="str">
        <x:f>IF(C1015="","",MAX(0,SUMIFS(SONDERZAHLUNGEN!$E$9:$E$128,SONDERZAHLUNGEN!$B$9:$B$128,C1015,SONDERZAHLUNGEN!$C$9:$C$128,A1015,SONDERZAHLUNGEN!$H$9:$H$128,"OK",SONDERZAHLUNGEN!$F$9:$F$128,"Ja")-G1015))</x:f>
      </x:c>
    </x:row>
    <x:row r="1016" ht="19" customHeight="1">
      <x:c r="A1016" s="90" t="n">
        <x:f>MONATSBUDGET!$A$57</x:f>
        <x:v>47727</x:v>
      </x:c>
      <x:c r="B1016" t="n">
        <x:f>17</x:f>
        <x:v>17</x:v>
      </x:c>
      <x:c r="C1016" t="str">
        <x:f>IF($N$25="","",$N$25)</x:f>
      </x:c>
      <x:c r="D1016" s="88" t="str">
        <x:f>IF(C1016="","",I996)</x:f>
      </x:c>
      <x:c r="E1016" s="88" t="str">
        <x:f>IF(C1016="","",ROUND(D1016*$P$25/12,2))</x:f>
      </x:c>
      <x:c r="F1016" s="88" t="str">
        <x:f>IF(C1016="","",MIN(D1016+E1016,$Q$25))</x:f>
      </x:c>
      <x:c r="G1016" s="88" t="str">
        <x:f>IF(C1016="","",MIN(MAX(0,D1016+E1016-F1016),SUMIFS(SONDERZAHLUNGEN!$E$9:$E$128,SONDERZAHLUNGEN!$B$9:$B$128,C1016,SONDERZAHLUNGEN!$C$9:$C$128,A1016,SONDERZAHLUNGEN!$H$9:$H$128,"OK",SONDERZAHLUNGEN!$F$9:$F$128,"Ja")))</x:f>
      </x:c>
      <x:c r="H1016" s="88" t="str">
        <x:f>IF(C1016="","",MIN(MAX(0,D1016+E1016-F1016-G1016),MAX(0,IF(MONATSBUDGET!$C$57="",0,MONATSBUDGET!$C$57)-SUM(F1000:F1019)-SUM(H1000:H1015))))</x:f>
      </x:c>
      <x:c r="I1016" s="88" t="str">
        <x:f>IF(C1016="","",MAX(0,ROUND(D1016+E1016-F1016-G1016-H1016,2)))</x:f>
      </x:c>
      <x:c r="J1016" s="88" t="str">
        <x:f>IF(C1016="","",F1016+G1016+H1016)</x:f>
      </x:c>
      <x:c r="K1016" s="88" t="str">
        <x:f>IF(C1016="","",MAX(0,SUMIFS(SONDERZAHLUNGEN!$E$9:$E$128,SONDERZAHLUNGEN!$B$9:$B$128,C1016,SONDERZAHLUNGEN!$C$9:$C$128,A1016,SONDERZAHLUNGEN!$H$9:$H$128,"OK",SONDERZAHLUNGEN!$F$9:$F$128,"Ja")-G1016))</x:f>
      </x:c>
    </x:row>
    <x:row r="1017" ht="19" customHeight="1">
      <x:c r="A1017" s="90" t="n">
        <x:f>MONATSBUDGET!$A$57</x:f>
        <x:v>47727</x:v>
      </x:c>
      <x:c r="B1017" t="n">
        <x:f>18</x:f>
        <x:v>18</x:v>
      </x:c>
      <x:c r="C1017" t="str">
        <x:f>IF($N$26="","",$N$26)</x:f>
      </x:c>
      <x:c r="D1017" s="88" t="str">
        <x:f>IF(C1017="","",I997)</x:f>
      </x:c>
      <x:c r="E1017" s="88" t="str">
        <x:f>IF(C1017="","",ROUND(D1017*$P$26/12,2))</x:f>
      </x:c>
      <x:c r="F1017" s="88" t="str">
        <x:f>IF(C1017="","",MIN(D1017+E1017,$Q$26))</x:f>
      </x:c>
      <x:c r="G1017" s="88" t="str">
        <x:f>IF(C1017="","",MIN(MAX(0,D1017+E1017-F1017),SUMIFS(SONDERZAHLUNGEN!$E$9:$E$128,SONDERZAHLUNGEN!$B$9:$B$128,C1017,SONDERZAHLUNGEN!$C$9:$C$128,A1017,SONDERZAHLUNGEN!$H$9:$H$128,"OK",SONDERZAHLUNGEN!$F$9:$F$128,"Ja")))</x:f>
      </x:c>
      <x:c r="H1017" s="88" t="str">
        <x:f>IF(C1017="","",MIN(MAX(0,D1017+E1017-F1017-G1017),MAX(0,IF(MONATSBUDGET!$C$57="",0,MONATSBUDGET!$C$57)-SUM(F1000:F1019)-SUM(H1000:H1016))))</x:f>
      </x:c>
      <x:c r="I1017" s="88" t="str">
        <x:f>IF(C1017="","",MAX(0,ROUND(D1017+E1017-F1017-G1017-H1017,2)))</x:f>
      </x:c>
      <x:c r="J1017" s="88" t="str">
        <x:f>IF(C1017="","",F1017+G1017+H1017)</x:f>
      </x:c>
      <x:c r="K1017" s="88" t="str">
        <x:f>IF(C1017="","",MAX(0,SUMIFS(SONDERZAHLUNGEN!$E$9:$E$128,SONDERZAHLUNGEN!$B$9:$B$128,C1017,SONDERZAHLUNGEN!$C$9:$C$128,A1017,SONDERZAHLUNGEN!$H$9:$H$128,"OK",SONDERZAHLUNGEN!$F$9:$F$128,"Ja")-G1017))</x:f>
      </x:c>
    </x:row>
    <x:row r="1018" ht="19" customHeight="1">
      <x:c r="A1018" s="90" t="n">
        <x:f>MONATSBUDGET!$A$57</x:f>
        <x:v>47727</x:v>
      </x:c>
      <x:c r="B1018" t="n">
        <x:f>19</x:f>
        <x:v>19</x:v>
      </x:c>
      <x:c r="C1018" t="str">
        <x:f>IF($N$27="","",$N$27)</x:f>
      </x:c>
      <x:c r="D1018" s="88" t="str">
        <x:f>IF(C1018="","",I998)</x:f>
      </x:c>
      <x:c r="E1018" s="88" t="str">
        <x:f>IF(C1018="","",ROUND(D1018*$P$27/12,2))</x:f>
      </x:c>
      <x:c r="F1018" s="88" t="str">
        <x:f>IF(C1018="","",MIN(D1018+E1018,$Q$27))</x:f>
      </x:c>
      <x:c r="G1018" s="88" t="str">
        <x:f>IF(C1018="","",MIN(MAX(0,D1018+E1018-F1018),SUMIFS(SONDERZAHLUNGEN!$E$9:$E$128,SONDERZAHLUNGEN!$B$9:$B$128,C1018,SONDERZAHLUNGEN!$C$9:$C$128,A1018,SONDERZAHLUNGEN!$H$9:$H$128,"OK",SONDERZAHLUNGEN!$F$9:$F$128,"Ja")))</x:f>
      </x:c>
      <x:c r="H1018" s="88" t="str">
        <x:f>IF(C1018="","",MIN(MAX(0,D1018+E1018-F1018-G1018),MAX(0,IF(MONATSBUDGET!$C$57="",0,MONATSBUDGET!$C$57)-SUM(F1000:F1019)-SUM(H1000:H1017))))</x:f>
      </x:c>
      <x:c r="I1018" s="88" t="str">
        <x:f>IF(C1018="","",MAX(0,ROUND(D1018+E1018-F1018-G1018-H1018,2)))</x:f>
      </x:c>
      <x:c r="J1018" s="88" t="str">
        <x:f>IF(C1018="","",F1018+G1018+H1018)</x:f>
      </x:c>
      <x:c r="K1018" s="88" t="str">
        <x:f>IF(C1018="","",MAX(0,SUMIFS(SONDERZAHLUNGEN!$E$9:$E$128,SONDERZAHLUNGEN!$B$9:$B$128,C1018,SONDERZAHLUNGEN!$C$9:$C$128,A1018,SONDERZAHLUNGEN!$H$9:$H$128,"OK",SONDERZAHLUNGEN!$F$9:$F$128,"Ja")-G1018))</x:f>
      </x:c>
    </x:row>
    <x:row r="1019" ht="19" customHeight="1">
      <x:c r="A1019" s="90" t="n">
        <x:f>MONATSBUDGET!$A$57</x:f>
        <x:v>47727</x:v>
      </x:c>
      <x:c r="B1019" t="n">
        <x:f>20</x:f>
        <x:v>20</x:v>
      </x:c>
      <x:c r="C1019" t="str">
        <x:f>IF($N$28="","",$N$28)</x:f>
      </x:c>
      <x:c r="D1019" s="88" t="str">
        <x:f>IF(C1019="","",I999)</x:f>
      </x:c>
      <x:c r="E1019" s="88" t="str">
        <x:f>IF(C1019="","",ROUND(D1019*$P$28/12,2))</x:f>
      </x:c>
      <x:c r="F1019" s="88" t="str">
        <x:f>IF(C1019="","",MIN(D1019+E1019,$Q$28))</x:f>
      </x:c>
      <x:c r="G1019" s="88" t="str">
        <x:f>IF(C1019="","",MIN(MAX(0,D1019+E1019-F1019),SUMIFS(SONDERZAHLUNGEN!$E$9:$E$128,SONDERZAHLUNGEN!$B$9:$B$128,C1019,SONDERZAHLUNGEN!$C$9:$C$128,A1019,SONDERZAHLUNGEN!$H$9:$H$128,"OK",SONDERZAHLUNGEN!$F$9:$F$128,"Ja")))</x:f>
      </x:c>
      <x:c r="H1019" s="88" t="str">
        <x:f>IF(C1019="","",MIN(MAX(0,D1019+E1019-F1019-G1019),MAX(0,IF(MONATSBUDGET!$C$57="",0,MONATSBUDGET!$C$57)-SUM(F1000:F1019)-SUM(H1000:H1018))))</x:f>
      </x:c>
      <x:c r="I1019" s="88" t="str">
        <x:f>IF(C1019="","",MAX(0,ROUND(D1019+E1019-F1019-G1019-H1019,2)))</x:f>
      </x:c>
      <x:c r="J1019" s="88" t="str">
        <x:f>IF(C1019="","",F1019+G1019+H1019)</x:f>
      </x:c>
      <x:c r="K1019" s="88" t="str">
        <x:f>IF(C1019="","",MAX(0,SUMIFS(SONDERZAHLUNGEN!$E$9:$E$128,SONDERZAHLUNGEN!$B$9:$B$128,C1019,SONDERZAHLUNGEN!$C$9:$C$128,A1019,SONDERZAHLUNGEN!$H$9:$H$128,"OK",SONDERZAHLUNGEN!$F$9:$F$128,"Ja")-G1019))</x:f>
      </x:c>
    </x:row>
    <x:row r="1020" ht="19" customHeight="1">
      <x:c r="A1020" s="90" t="n">
        <x:f>MONATSBUDGET!$A$58</x:f>
        <x:v>47757</x:v>
      </x:c>
      <x:c r="B1020" t="n">
        <x:f>1</x:f>
        <x:v>1</x:v>
      </x:c>
      <x:c r="C1020" t="str">
        <x:f>IF($N$9="","",$N$9)</x:f>
      </x:c>
      <x:c r="D1020" s="88" t="str">
        <x:f>IF(C1020="","",I1000)</x:f>
      </x:c>
      <x:c r="E1020" s="88" t="str">
        <x:f>IF(C1020="","",ROUND(D1020*$P$9/12,2))</x:f>
      </x:c>
      <x:c r="F1020" s="88" t="str">
        <x:f>IF(C1020="","",MIN(D1020+E1020,$Q$9))</x:f>
      </x:c>
      <x:c r="G1020" s="88" t="str">
        <x:f>IF(C1020="","",MIN(MAX(0,D1020+E1020-F1020),SUMIFS(SONDERZAHLUNGEN!$E$9:$E$128,SONDERZAHLUNGEN!$B$9:$B$128,C1020,SONDERZAHLUNGEN!$C$9:$C$128,A1020,SONDERZAHLUNGEN!$H$9:$H$128,"OK",SONDERZAHLUNGEN!$F$9:$F$128,"Ja")))</x:f>
      </x:c>
      <x:c r="H1020" s="88" t="str">
        <x:f>IF(C1020="","",MIN(MAX(0,D1020+E1020-F1020-G1020),MAX(0,IF(MONATSBUDGET!$C$58="",0,MONATSBUDGET!$C$58)-SUM(F1020:F1039)-0)))</x:f>
      </x:c>
      <x:c r="I1020" s="88" t="str">
        <x:f>IF(C1020="","",MAX(0,ROUND(D1020+E1020-F1020-G1020-H1020,2)))</x:f>
      </x:c>
      <x:c r="J1020" s="88" t="str">
        <x:f>IF(C1020="","",F1020+G1020+H1020)</x:f>
      </x:c>
      <x:c r="K1020" s="88" t="str">
        <x:f>IF(C1020="","",MAX(0,SUMIFS(SONDERZAHLUNGEN!$E$9:$E$128,SONDERZAHLUNGEN!$B$9:$B$128,C1020,SONDERZAHLUNGEN!$C$9:$C$128,A1020,SONDERZAHLUNGEN!$H$9:$H$128,"OK",SONDERZAHLUNGEN!$F$9:$F$128,"Ja")-G1020))</x:f>
      </x:c>
    </x:row>
    <x:row r="1021" ht="19" customHeight="1">
      <x:c r="A1021" s="90" t="n">
        <x:f>MONATSBUDGET!$A$58</x:f>
        <x:v>47757</x:v>
      </x:c>
      <x:c r="B1021" t="n">
        <x:f>2</x:f>
        <x:v>2</x:v>
      </x:c>
      <x:c r="C1021" t="str">
        <x:f>IF($N$10="","",$N$10)</x:f>
      </x:c>
      <x:c r="D1021" s="88" t="str">
        <x:f>IF(C1021="","",I1001)</x:f>
      </x:c>
      <x:c r="E1021" s="88" t="str">
        <x:f>IF(C1021="","",ROUND(D1021*$P$10/12,2))</x:f>
      </x:c>
      <x:c r="F1021" s="88" t="str">
        <x:f>IF(C1021="","",MIN(D1021+E1021,$Q$10))</x:f>
      </x:c>
      <x:c r="G1021" s="88" t="str">
        <x:f>IF(C1021="","",MIN(MAX(0,D1021+E1021-F1021),SUMIFS(SONDERZAHLUNGEN!$E$9:$E$128,SONDERZAHLUNGEN!$B$9:$B$128,C1021,SONDERZAHLUNGEN!$C$9:$C$128,A1021,SONDERZAHLUNGEN!$H$9:$H$128,"OK",SONDERZAHLUNGEN!$F$9:$F$128,"Ja")))</x:f>
      </x:c>
      <x:c r="H1021" s="88" t="str">
        <x:f>IF(C1021="","",MIN(MAX(0,D1021+E1021-F1021-G1021),MAX(0,IF(MONATSBUDGET!$C$58="",0,MONATSBUDGET!$C$58)-SUM(F1020:F1039)-SUM(H1020:H1020))))</x:f>
      </x:c>
      <x:c r="I1021" s="88" t="str">
        <x:f>IF(C1021="","",MAX(0,ROUND(D1021+E1021-F1021-G1021-H1021,2)))</x:f>
      </x:c>
      <x:c r="J1021" s="88" t="str">
        <x:f>IF(C1021="","",F1021+G1021+H1021)</x:f>
      </x:c>
      <x:c r="K1021" s="88" t="str">
        <x:f>IF(C1021="","",MAX(0,SUMIFS(SONDERZAHLUNGEN!$E$9:$E$128,SONDERZAHLUNGEN!$B$9:$B$128,C1021,SONDERZAHLUNGEN!$C$9:$C$128,A1021,SONDERZAHLUNGEN!$H$9:$H$128,"OK",SONDERZAHLUNGEN!$F$9:$F$128,"Ja")-G1021))</x:f>
      </x:c>
    </x:row>
    <x:row r="1022" ht="19" customHeight="1">
      <x:c r="A1022" s="90" t="n">
        <x:f>MONATSBUDGET!$A$58</x:f>
        <x:v>47757</x:v>
      </x:c>
      <x:c r="B1022" t="n">
        <x:f>3</x:f>
        <x:v>3</x:v>
      </x:c>
      <x:c r="C1022" t="str">
        <x:f>IF($N$11="","",$N$11)</x:f>
      </x:c>
      <x:c r="D1022" s="88" t="str">
        <x:f>IF(C1022="","",I1002)</x:f>
      </x:c>
      <x:c r="E1022" s="88" t="str">
        <x:f>IF(C1022="","",ROUND(D1022*$P$11/12,2))</x:f>
      </x:c>
      <x:c r="F1022" s="88" t="str">
        <x:f>IF(C1022="","",MIN(D1022+E1022,$Q$11))</x:f>
      </x:c>
      <x:c r="G1022" s="88" t="str">
        <x:f>IF(C1022="","",MIN(MAX(0,D1022+E1022-F1022),SUMIFS(SONDERZAHLUNGEN!$E$9:$E$128,SONDERZAHLUNGEN!$B$9:$B$128,C1022,SONDERZAHLUNGEN!$C$9:$C$128,A1022,SONDERZAHLUNGEN!$H$9:$H$128,"OK",SONDERZAHLUNGEN!$F$9:$F$128,"Ja")))</x:f>
      </x:c>
      <x:c r="H1022" s="88" t="str">
        <x:f>IF(C1022="","",MIN(MAX(0,D1022+E1022-F1022-G1022),MAX(0,IF(MONATSBUDGET!$C$58="",0,MONATSBUDGET!$C$58)-SUM(F1020:F1039)-SUM(H1020:H1021))))</x:f>
      </x:c>
      <x:c r="I1022" s="88" t="str">
        <x:f>IF(C1022="","",MAX(0,ROUND(D1022+E1022-F1022-G1022-H1022,2)))</x:f>
      </x:c>
      <x:c r="J1022" s="88" t="str">
        <x:f>IF(C1022="","",F1022+G1022+H1022)</x:f>
      </x:c>
      <x:c r="K1022" s="88" t="str">
        <x:f>IF(C1022="","",MAX(0,SUMIFS(SONDERZAHLUNGEN!$E$9:$E$128,SONDERZAHLUNGEN!$B$9:$B$128,C1022,SONDERZAHLUNGEN!$C$9:$C$128,A1022,SONDERZAHLUNGEN!$H$9:$H$128,"OK",SONDERZAHLUNGEN!$F$9:$F$128,"Ja")-G1022))</x:f>
      </x:c>
    </x:row>
    <x:row r="1023" ht="19" customHeight="1">
      <x:c r="A1023" s="90" t="n">
        <x:f>MONATSBUDGET!$A$58</x:f>
        <x:v>47757</x:v>
      </x:c>
      <x:c r="B1023" t="n">
        <x:f>4</x:f>
        <x:v>4</x:v>
      </x:c>
      <x:c r="C1023" t="str">
        <x:f>IF($N$12="","",$N$12)</x:f>
      </x:c>
      <x:c r="D1023" s="88" t="str">
        <x:f>IF(C1023="","",I1003)</x:f>
      </x:c>
      <x:c r="E1023" s="88" t="str">
        <x:f>IF(C1023="","",ROUND(D1023*$P$12/12,2))</x:f>
      </x:c>
      <x:c r="F1023" s="88" t="str">
        <x:f>IF(C1023="","",MIN(D1023+E1023,$Q$12))</x:f>
      </x:c>
      <x:c r="G1023" s="88" t="str">
        <x:f>IF(C1023="","",MIN(MAX(0,D1023+E1023-F1023),SUMIFS(SONDERZAHLUNGEN!$E$9:$E$128,SONDERZAHLUNGEN!$B$9:$B$128,C1023,SONDERZAHLUNGEN!$C$9:$C$128,A1023,SONDERZAHLUNGEN!$H$9:$H$128,"OK",SONDERZAHLUNGEN!$F$9:$F$128,"Ja")))</x:f>
      </x:c>
      <x:c r="H1023" s="88" t="str">
        <x:f>IF(C1023="","",MIN(MAX(0,D1023+E1023-F1023-G1023),MAX(0,IF(MONATSBUDGET!$C$58="",0,MONATSBUDGET!$C$58)-SUM(F1020:F1039)-SUM(H1020:H1022))))</x:f>
      </x:c>
      <x:c r="I1023" s="88" t="str">
        <x:f>IF(C1023="","",MAX(0,ROUND(D1023+E1023-F1023-G1023-H1023,2)))</x:f>
      </x:c>
      <x:c r="J1023" s="88" t="str">
        <x:f>IF(C1023="","",F1023+G1023+H1023)</x:f>
      </x:c>
      <x:c r="K1023" s="88" t="str">
        <x:f>IF(C1023="","",MAX(0,SUMIFS(SONDERZAHLUNGEN!$E$9:$E$128,SONDERZAHLUNGEN!$B$9:$B$128,C1023,SONDERZAHLUNGEN!$C$9:$C$128,A1023,SONDERZAHLUNGEN!$H$9:$H$128,"OK",SONDERZAHLUNGEN!$F$9:$F$128,"Ja")-G1023))</x:f>
      </x:c>
    </x:row>
    <x:row r="1024" ht="19" customHeight="1">
      <x:c r="A1024" s="90" t="n">
        <x:f>MONATSBUDGET!$A$58</x:f>
        <x:v>47757</x:v>
      </x:c>
      <x:c r="B1024" t="n">
        <x:f>5</x:f>
        <x:v>5</x:v>
      </x:c>
      <x:c r="C1024" t="str">
        <x:f>IF($N$13="","",$N$13)</x:f>
      </x:c>
      <x:c r="D1024" s="88" t="str">
        <x:f>IF(C1024="","",I1004)</x:f>
      </x:c>
      <x:c r="E1024" s="88" t="str">
        <x:f>IF(C1024="","",ROUND(D1024*$P$13/12,2))</x:f>
      </x:c>
      <x:c r="F1024" s="88" t="str">
        <x:f>IF(C1024="","",MIN(D1024+E1024,$Q$13))</x:f>
      </x:c>
      <x:c r="G1024" s="88" t="str">
        <x:f>IF(C1024="","",MIN(MAX(0,D1024+E1024-F1024),SUMIFS(SONDERZAHLUNGEN!$E$9:$E$128,SONDERZAHLUNGEN!$B$9:$B$128,C1024,SONDERZAHLUNGEN!$C$9:$C$128,A1024,SONDERZAHLUNGEN!$H$9:$H$128,"OK",SONDERZAHLUNGEN!$F$9:$F$128,"Ja")))</x:f>
      </x:c>
      <x:c r="H1024" s="88" t="str">
        <x:f>IF(C1024="","",MIN(MAX(0,D1024+E1024-F1024-G1024),MAX(0,IF(MONATSBUDGET!$C$58="",0,MONATSBUDGET!$C$58)-SUM(F1020:F1039)-SUM(H1020:H1023))))</x:f>
      </x:c>
      <x:c r="I1024" s="88" t="str">
        <x:f>IF(C1024="","",MAX(0,ROUND(D1024+E1024-F1024-G1024-H1024,2)))</x:f>
      </x:c>
      <x:c r="J1024" s="88" t="str">
        <x:f>IF(C1024="","",F1024+G1024+H1024)</x:f>
      </x:c>
      <x:c r="K1024" s="88" t="str">
        <x:f>IF(C1024="","",MAX(0,SUMIFS(SONDERZAHLUNGEN!$E$9:$E$128,SONDERZAHLUNGEN!$B$9:$B$128,C1024,SONDERZAHLUNGEN!$C$9:$C$128,A1024,SONDERZAHLUNGEN!$H$9:$H$128,"OK",SONDERZAHLUNGEN!$F$9:$F$128,"Ja")-G1024))</x:f>
      </x:c>
    </x:row>
    <x:row r="1025" ht="19" customHeight="1">
      <x:c r="A1025" s="90" t="n">
        <x:f>MONATSBUDGET!$A$58</x:f>
        <x:v>47757</x:v>
      </x:c>
      <x:c r="B1025" t="n">
        <x:f>6</x:f>
        <x:v>6</x:v>
      </x:c>
      <x:c r="C1025" t="str">
        <x:f>IF($N$14="","",$N$14)</x:f>
      </x:c>
      <x:c r="D1025" s="88" t="str">
        <x:f>IF(C1025="","",I1005)</x:f>
      </x:c>
      <x:c r="E1025" s="88" t="str">
        <x:f>IF(C1025="","",ROUND(D1025*$P$14/12,2))</x:f>
      </x:c>
      <x:c r="F1025" s="88" t="str">
        <x:f>IF(C1025="","",MIN(D1025+E1025,$Q$14))</x:f>
      </x:c>
      <x:c r="G1025" s="88" t="str">
        <x:f>IF(C1025="","",MIN(MAX(0,D1025+E1025-F1025),SUMIFS(SONDERZAHLUNGEN!$E$9:$E$128,SONDERZAHLUNGEN!$B$9:$B$128,C1025,SONDERZAHLUNGEN!$C$9:$C$128,A1025,SONDERZAHLUNGEN!$H$9:$H$128,"OK",SONDERZAHLUNGEN!$F$9:$F$128,"Ja")))</x:f>
      </x:c>
      <x:c r="H1025" s="88" t="str">
        <x:f>IF(C1025="","",MIN(MAX(0,D1025+E1025-F1025-G1025),MAX(0,IF(MONATSBUDGET!$C$58="",0,MONATSBUDGET!$C$58)-SUM(F1020:F1039)-SUM(H1020:H1024))))</x:f>
      </x:c>
      <x:c r="I1025" s="88" t="str">
        <x:f>IF(C1025="","",MAX(0,ROUND(D1025+E1025-F1025-G1025-H1025,2)))</x:f>
      </x:c>
      <x:c r="J1025" s="88" t="str">
        <x:f>IF(C1025="","",F1025+G1025+H1025)</x:f>
      </x:c>
      <x:c r="K1025" s="88" t="str">
        <x:f>IF(C1025="","",MAX(0,SUMIFS(SONDERZAHLUNGEN!$E$9:$E$128,SONDERZAHLUNGEN!$B$9:$B$128,C1025,SONDERZAHLUNGEN!$C$9:$C$128,A1025,SONDERZAHLUNGEN!$H$9:$H$128,"OK",SONDERZAHLUNGEN!$F$9:$F$128,"Ja")-G1025))</x:f>
      </x:c>
    </x:row>
    <x:row r="1026" ht="19" customHeight="1">
      <x:c r="A1026" s="90" t="n">
        <x:f>MONATSBUDGET!$A$58</x:f>
        <x:v>47757</x:v>
      </x:c>
      <x:c r="B1026" t="n">
        <x:f>7</x:f>
        <x:v>7</x:v>
      </x:c>
      <x:c r="C1026" t="str">
        <x:f>IF($N$15="","",$N$15)</x:f>
      </x:c>
      <x:c r="D1026" s="88" t="str">
        <x:f>IF(C1026="","",I1006)</x:f>
      </x:c>
      <x:c r="E1026" s="88" t="str">
        <x:f>IF(C1026="","",ROUND(D1026*$P$15/12,2))</x:f>
      </x:c>
      <x:c r="F1026" s="88" t="str">
        <x:f>IF(C1026="","",MIN(D1026+E1026,$Q$15))</x:f>
      </x:c>
      <x:c r="G1026" s="88" t="str">
        <x:f>IF(C1026="","",MIN(MAX(0,D1026+E1026-F1026),SUMIFS(SONDERZAHLUNGEN!$E$9:$E$128,SONDERZAHLUNGEN!$B$9:$B$128,C1026,SONDERZAHLUNGEN!$C$9:$C$128,A1026,SONDERZAHLUNGEN!$H$9:$H$128,"OK",SONDERZAHLUNGEN!$F$9:$F$128,"Ja")))</x:f>
      </x:c>
      <x:c r="H1026" s="88" t="str">
        <x:f>IF(C1026="","",MIN(MAX(0,D1026+E1026-F1026-G1026),MAX(0,IF(MONATSBUDGET!$C$58="",0,MONATSBUDGET!$C$58)-SUM(F1020:F1039)-SUM(H1020:H1025))))</x:f>
      </x:c>
      <x:c r="I1026" s="88" t="str">
        <x:f>IF(C1026="","",MAX(0,ROUND(D1026+E1026-F1026-G1026-H1026,2)))</x:f>
      </x:c>
      <x:c r="J1026" s="88" t="str">
        <x:f>IF(C1026="","",F1026+G1026+H1026)</x:f>
      </x:c>
      <x:c r="K1026" s="88" t="str">
        <x:f>IF(C1026="","",MAX(0,SUMIFS(SONDERZAHLUNGEN!$E$9:$E$128,SONDERZAHLUNGEN!$B$9:$B$128,C1026,SONDERZAHLUNGEN!$C$9:$C$128,A1026,SONDERZAHLUNGEN!$H$9:$H$128,"OK",SONDERZAHLUNGEN!$F$9:$F$128,"Ja")-G1026))</x:f>
      </x:c>
    </x:row>
    <x:row r="1027" ht="19" customHeight="1">
      <x:c r="A1027" s="90" t="n">
        <x:f>MONATSBUDGET!$A$58</x:f>
        <x:v>47757</x:v>
      </x:c>
      <x:c r="B1027" t="n">
        <x:f>8</x:f>
        <x:v>8</x:v>
      </x:c>
      <x:c r="C1027" t="str">
        <x:f>IF($N$16="","",$N$16)</x:f>
      </x:c>
      <x:c r="D1027" s="88" t="str">
        <x:f>IF(C1027="","",I1007)</x:f>
      </x:c>
      <x:c r="E1027" s="88" t="str">
        <x:f>IF(C1027="","",ROUND(D1027*$P$16/12,2))</x:f>
      </x:c>
      <x:c r="F1027" s="88" t="str">
        <x:f>IF(C1027="","",MIN(D1027+E1027,$Q$16))</x:f>
      </x:c>
      <x:c r="G1027" s="88" t="str">
        <x:f>IF(C1027="","",MIN(MAX(0,D1027+E1027-F1027),SUMIFS(SONDERZAHLUNGEN!$E$9:$E$128,SONDERZAHLUNGEN!$B$9:$B$128,C1027,SONDERZAHLUNGEN!$C$9:$C$128,A1027,SONDERZAHLUNGEN!$H$9:$H$128,"OK",SONDERZAHLUNGEN!$F$9:$F$128,"Ja")))</x:f>
      </x:c>
      <x:c r="H1027" s="88" t="str">
        <x:f>IF(C1027="","",MIN(MAX(0,D1027+E1027-F1027-G1027),MAX(0,IF(MONATSBUDGET!$C$58="",0,MONATSBUDGET!$C$58)-SUM(F1020:F1039)-SUM(H1020:H1026))))</x:f>
      </x:c>
      <x:c r="I1027" s="88" t="str">
        <x:f>IF(C1027="","",MAX(0,ROUND(D1027+E1027-F1027-G1027-H1027,2)))</x:f>
      </x:c>
      <x:c r="J1027" s="88" t="str">
        <x:f>IF(C1027="","",F1027+G1027+H1027)</x:f>
      </x:c>
      <x:c r="K1027" s="88" t="str">
        <x:f>IF(C1027="","",MAX(0,SUMIFS(SONDERZAHLUNGEN!$E$9:$E$128,SONDERZAHLUNGEN!$B$9:$B$128,C1027,SONDERZAHLUNGEN!$C$9:$C$128,A1027,SONDERZAHLUNGEN!$H$9:$H$128,"OK",SONDERZAHLUNGEN!$F$9:$F$128,"Ja")-G1027))</x:f>
      </x:c>
    </x:row>
    <x:row r="1028" ht="19" customHeight="1">
      <x:c r="A1028" s="90" t="n">
        <x:f>MONATSBUDGET!$A$58</x:f>
        <x:v>47757</x:v>
      </x:c>
      <x:c r="B1028" t="n">
        <x:f>9</x:f>
        <x:v>9</x:v>
      </x:c>
      <x:c r="C1028" t="str">
        <x:f>IF($N$17="","",$N$17)</x:f>
      </x:c>
      <x:c r="D1028" s="88" t="str">
        <x:f>IF(C1028="","",I1008)</x:f>
      </x:c>
      <x:c r="E1028" s="88" t="str">
        <x:f>IF(C1028="","",ROUND(D1028*$P$17/12,2))</x:f>
      </x:c>
      <x:c r="F1028" s="88" t="str">
        <x:f>IF(C1028="","",MIN(D1028+E1028,$Q$17))</x:f>
      </x:c>
      <x:c r="G1028" s="88" t="str">
        <x:f>IF(C1028="","",MIN(MAX(0,D1028+E1028-F1028),SUMIFS(SONDERZAHLUNGEN!$E$9:$E$128,SONDERZAHLUNGEN!$B$9:$B$128,C1028,SONDERZAHLUNGEN!$C$9:$C$128,A1028,SONDERZAHLUNGEN!$H$9:$H$128,"OK",SONDERZAHLUNGEN!$F$9:$F$128,"Ja")))</x:f>
      </x:c>
      <x:c r="H1028" s="88" t="str">
        <x:f>IF(C1028="","",MIN(MAX(0,D1028+E1028-F1028-G1028),MAX(0,IF(MONATSBUDGET!$C$58="",0,MONATSBUDGET!$C$58)-SUM(F1020:F1039)-SUM(H1020:H1027))))</x:f>
      </x:c>
      <x:c r="I1028" s="88" t="str">
        <x:f>IF(C1028="","",MAX(0,ROUND(D1028+E1028-F1028-G1028-H1028,2)))</x:f>
      </x:c>
      <x:c r="J1028" s="88" t="str">
        <x:f>IF(C1028="","",F1028+G1028+H1028)</x:f>
      </x:c>
      <x:c r="K1028" s="88" t="str">
        <x:f>IF(C1028="","",MAX(0,SUMIFS(SONDERZAHLUNGEN!$E$9:$E$128,SONDERZAHLUNGEN!$B$9:$B$128,C1028,SONDERZAHLUNGEN!$C$9:$C$128,A1028,SONDERZAHLUNGEN!$H$9:$H$128,"OK",SONDERZAHLUNGEN!$F$9:$F$128,"Ja")-G1028))</x:f>
      </x:c>
    </x:row>
    <x:row r="1029" ht="19" customHeight="1">
      <x:c r="A1029" s="90" t="n">
        <x:f>MONATSBUDGET!$A$58</x:f>
        <x:v>47757</x:v>
      </x:c>
      <x:c r="B1029" t="n">
        <x:f>10</x:f>
        <x:v>10</x:v>
      </x:c>
      <x:c r="C1029" t="str">
        <x:f>IF($N$18="","",$N$18)</x:f>
      </x:c>
      <x:c r="D1029" s="88" t="str">
        <x:f>IF(C1029="","",I1009)</x:f>
      </x:c>
      <x:c r="E1029" s="88" t="str">
        <x:f>IF(C1029="","",ROUND(D1029*$P$18/12,2))</x:f>
      </x:c>
      <x:c r="F1029" s="88" t="str">
        <x:f>IF(C1029="","",MIN(D1029+E1029,$Q$18))</x:f>
      </x:c>
      <x:c r="G1029" s="88" t="str">
        <x:f>IF(C1029="","",MIN(MAX(0,D1029+E1029-F1029),SUMIFS(SONDERZAHLUNGEN!$E$9:$E$128,SONDERZAHLUNGEN!$B$9:$B$128,C1029,SONDERZAHLUNGEN!$C$9:$C$128,A1029,SONDERZAHLUNGEN!$H$9:$H$128,"OK",SONDERZAHLUNGEN!$F$9:$F$128,"Ja")))</x:f>
      </x:c>
      <x:c r="H1029" s="88" t="str">
        <x:f>IF(C1029="","",MIN(MAX(0,D1029+E1029-F1029-G1029),MAX(0,IF(MONATSBUDGET!$C$58="",0,MONATSBUDGET!$C$58)-SUM(F1020:F1039)-SUM(H1020:H1028))))</x:f>
      </x:c>
      <x:c r="I1029" s="88" t="str">
        <x:f>IF(C1029="","",MAX(0,ROUND(D1029+E1029-F1029-G1029-H1029,2)))</x:f>
      </x:c>
      <x:c r="J1029" s="88" t="str">
        <x:f>IF(C1029="","",F1029+G1029+H1029)</x:f>
      </x:c>
      <x:c r="K1029" s="88" t="str">
        <x:f>IF(C1029="","",MAX(0,SUMIFS(SONDERZAHLUNGEN!$E$9:$E$128,SONDERZAHLUNGEN!$B$9:$B$128,C1029,SONDERZAHLUNGEN!$C$9:$C$128,A1029,SONDERZAHLUNGEN!$H$9:$H$128,"OK",SONDERZAHLUNGEN!$F$9:$F$128,"Ja")-G1029))</x:f>
      </x:c>
    </x:row>
    <x:row r="1030" ht="19" customHeight="1">
      <x:c r="A1030" s="90" t="n">
        <x:f>MONATSBUDGET!$A$58</x:f>
        <x:v>47757</x:v>
      </x:c>
      <x:c r="B1030" t="n">
        <x:f>11</x:f>
        <x:v>11</x:v>
      </x:c>
      <x:c r="C1030" t="str">
        <x:f>IF($N$19="","",$N$19)</x:f>
      </x:c>
      <x:c r="D1030" s="88" t="str">
        <x:f>IF(C1030="","",I1010)</x:f>
      </x:c>
      <x:c r="E1030" s="88" t="str">
        <x:f>IF(C1030="","",ROUND(D1030*$P$19/12,2))</x:f>
      </x:c>
      <x:c r="F1030" s="88" t="str">
        <x:f>IF(C1030="","",MIN(D1030+E1030,$Q$19))</x:f>
      </x:c>
      <x:c r="G1030" s="88" t="str">
        <x:f>IF(C1030="","",MIN(MAX(0,D1030+E1030-F1030),SUMIFS(SONDERZAHLUNGEN!$E$9:$E$128,SONDERZAHLUNGEN!$B$9:$B$128,C1030,SONDERZAHLUNGEN!$C$9:$C$128,A1030,SONDERZAHLUNGEN!$H$9:$H$128,"OK",SONDERZAHLUNGEN!$F$9:$F$128,"Ja")))</x:f>
      </x:c>
      <x:c r="H1030" s="88" t="str">
        <x:f>IF(C1030="","",MIN(MAX(0,D1030+E1030-F1030-G1030),MAX(0,IF(MONATSBUDGET!$C$58="",0,MONATSBUDGET!$C$58)-SUM(F1020:F1039)-SUM(H1020:H1029))))</x:f>
      </x:c>
      <x:c r="I1030" s="88" t="str">
        <x:f>IF(C1030="","",MAX(0,ROUND(D1030+E1030-F1030-G1030-H1030,2)))</x:f>
      </x:c>
      <x:c r="J1030" s="88" t="str">
        <x:f>IF(C1030="","",F1030+G1030+H1030)</x:f>
      </x:c>
      <x:c r="K1030" s="88" t="str">
        <x:f>IF(C1030="","",MAX(0,SUMIFS(SONDERZAHLUNGEN!$E$9:$E$128,SONDERZAHLUNGEN!$B$9:$B$128,C1030,SONDERZAHLUNGEN!$C$9:$C$128,A1030,SONDERZAHLUNGEN!$H$9:$H$128,"OK",SONDERZAHLUNGEN!$F$9:$F$128,"Ja")-G1030))</x:f>
      </x:c>
    </x:row>
    <x:row r="1031" ht="19" customHeight="1">
      <x:c r="A1031" s="90" t="n">
        <x:f>MONATSBUDGET!$A$58</x:f>
        <x:v>47757</x:v>
      </x:c>
      <x:c r="B1031" t="n">
        <x:f>12</x:f>
        <x:v>12</x:v>
      </x:c>
      <x:c r="C1031" t="str">
        <x:f>IF($N$20="","",$N$20)</x:f>
      </x:c>
      <x:c r="D1031" s="88" t="str">
        <x:f>IF(C1031="","",I1011)</x:f>
      </x:c>
      <x:c r="E1031" s="88" t="str">
        <x:f>IF(C1031="","",ROUND(D1031*$P$20/12,2))</x:f>
      </x:c>
      <x:c r="F1031" s="88" t="str">
        <x:f>IF(C1031="","",MIN(D1031+E1031,$Q$20))</x:f>
      </x:c>
      <x:c r="G1031" s="88" t="str">
        <x:f>IF(C1031="","",MIN(MAX(0,D1031+E1031-F1031),SUMIFS(SONDERZAHLUNGEN!$E$9:$E$128,SONDERZAHLUNGEN!$B$9:$B$128,C1031,SONDERZAHLUNGEN!$C$9:$C$128,A1031,SONDERZAHLUNGEN!$H$9:$H$128,"OK",SONDERZAHLUNGEN!$F$9:$F$128,"Ja")))</x:f>
      </x:c>
      <x:c r="H1031" s="88" t="str">
        <x:f>IF(C1031="","",MIN(MAX(0,D1031+E1031-F1031-G1031),MAX(0,IF(MONATSBUDGET!$C$58="",0,MONATSBUDGET!$C$58)-SUM(F1020:F1039)-SUM(H1020:H1030))))</x:f>
      </x:c>
      <x:c r="I1031" s="88" t="str">
        <x:f>IF(C1031="","",MAX(0,ROUND(D1031+E1031-F1031-G1031-H1031,2)))</x:f>
      </x:c>
      <x:c r="J1031" s="88" t="str">
        <x:f>IF(C1031="","",F1031+G1031+H1031)</x:f>
      </x:c>
      <x:c r="K1031" s="88" t="str">
        <x:f>IF(C1031="","",MAX(0,SUMIFS(SONDERZAHLUNGEN!$E$9:$E$128,SONDERZAHLUNGEN!$B$9:$B$128,C1031,SONDERZAHLUNGEN!$C$9:$C$128,A1031,SONDERZAHLUNGEN!$H$9:$H$128,"OK",SONDERZAHLUNGEN!$F$9:$F$128,"Ja")-G1031))</x:f>
      </x:c>
    </x:row>
    <x:row r="1032" ht="19" customHeight="1">
      <x:c r="A1032" s="90" t="n">
        <x:f>MONATSBUDGET!$A$58</x:f>
        <x:v>47757</x:v>
      </x:c>
      <x:c r="B1032" t="n">
        <x:f>13</x:f>
        <x:v>13</x:v>
      </x:c>
      <x:c r="C1032" t="str">
        <x:f>IF($N$21="","",$N$21)</x:f>
      </x:c>
      <x:c r="D1032" s="88" t="str">
        <x:f>IF(C1032="","",I1012)</x:f>
      </x:c>
      <x:c r="E1032" s="88" t="str">
        <x:f>IF(C1032="","",ROUND(D1032*$P$21/12,2))</x:f>
      </x:c>
      <x:c r="F1032" s="88" t="str">
        <x:f>IF(C1032="","",MIN(D1032+E1032,$Q$21))</x:f>
      </x:c>
      <x:c r="G1032" s="88" t="str">
        <x:f>IF(C1032="","",MIN(MAX(0,D1032+E1032-F1032),SUMIFS(SONDERZAHLUNGEN!$E$9:$E$128,SONDERZAHLUNGEN!$B$9:$B$128,C1032,SONDERZAHLUNGEN!$C$9:$C$128,A1032,SONDERZAHLUNGEN!$H$9:$H$128,"OK",SONDERZAHLUNGEN!$F$9:$F$128,"Ja")))</x:f>
      </x:c>
      <x:c r="H1032" s="88" t="str">
        <x:f>IF(C1032="","",MIN(MAX(0,D1032+E1032-F1032-G1032),MAX(0,IF(MONATSBUDGET!$C$58="",0,MONATSBUDGET!$C$58)-SUM(F1020:F1039)-SUM(H1020:H1031))))</x:f>
      </x:c>
      <x:c r="I1032" s="88" t="str">
        <x:f>IF(C1032="","",MAX(0,ROUND(D1032+E1032-F1032-G1032-H1032,2)))</x:f>
      </x:c>
      <x:c r="J1032" s="88" t="str">
        <x:f>IF(C1032="","",F1032+G1032+H1032)</x:f>
      </x:c>
      <x:c r="K1032" s="88" t="str">
        <x:f>IF(C1032="","",MAX(0,SUMIFS(SONDERZAHLUNGEN!$E$9:$E$128,SONDERZAHLUNGEN!$B$9:$B$128,C1032,SONDERZAHLUNGEN!$C$9:$C$128,A1032,SONDERZAHLUNGEN!$H$9:$H$128,"OK",SONDERZAHLUNGEN!$F$9:$F$128,"Ja")-G1032))</x:f>
      </x:c>
    </x:row>
    <x:row r="1033" ht="19" customHeight="1">
      <x:c r="A1033" s="90" t="n">
        <x:f>MONATSBUDGET!$A$58</x:f>
        <x:v>47757</x:v>
      </x:c>
      <x:c r="B1033" t="n">
        <x:f>14</x:f>
        <x:v>14</x:v>
      </x:c>
      <x:c r="C1033" t="str">
        <x:f>IF($N$22="","",$N$22)</x:f>
      </x:c>
      <x:c r="D1033" s="88" t="str">
        <x:f>IF(C1033="","",I1013)</x:f>
      </x:c>
      <x:c r="E1033" s="88" t="str">
        <x:f>IF(C1033="","",ROUND(D1033*$P$22/12,2))</x:f>
      </x:c>
      <x:c r="F1033" s="88" t="str">
        <x:f>IF(C1033="","",MIN(D1033+E1033,$Q$22))</x:f>
      </x:c>
      <x:c r="G1033" s="88" t="str">
        <x:f>IF(C1033="","",MIN(MAX(0,D1033+E1033-F1033),SUMIFS(SONDERZAHLUNGEN!$E$9:$E$128,SONDERZAHLUNGEN!$B$9:$B$128,C1033,SONDERZAHLUNGEN!$C$9:$C$128,A1033,SONDERZAHLUNGEN!$H$9:$H$128,"OK",SONDERZAHLUNGEN!$F$9:$F$128,"Ja")))</x:f>
      </x:c>
      <x:c r="H1033" s="88" t="str">
        <x:f>IF(C1033="","",MIN(MAX(0,D1033+E1033-F1033-G1033),MAX(0,IF(MONATSBUDGET!$C$58="",0,MONATSBUDGET!$C$58)-SUM(F1020:F1039)-SUM(H1020:H1032))))</x:f>
      </x:c>
      <x:c r="I1033" s="88" t="str">
        <x:f>IF(C1033="","",MAX(0,ROUND(D1033+E1033-F1033-G1033-H1033,2)))</x:f>
      </x:c>
      <x:c r="J1033" s="88" t="str">
        <x:f>IF(C1033="","",F1033+G1033+H1033)</x:f>
      </x:c>
      <x:c r="K1033" s="88" t="str">
        <x:f>IF(C1033="","",MAX(0,SUMIFS(SONDERZAHLUNGEN!$E$9:$E$128,SONDERZAHLUNGEN!$B$9:$B$128,C1033,SONDERZAHLUNGEN!$C$9:$C$128,A1033,SONDERZAHLUNGEN!$H$9:$H$128,"OK",SONDERZAHLUNGEN!$F$9:$F$128,"Ja")-G1033))</x:f>
      </x:c>
    </x:row>
    <x:row r="1034" ht="19" customHeight="1">
      <x:c r="A1034" s="90" t="n">
        <x:f>MONATSBUDGET!$A$58</x:f>
        <x:v>47757</x:v>
      </x:c>
      <x:c r="B1034" t="n">
        <x:f>15</x:f>
        <x:v>15</x:v>
      </x:c>
      <x:c r="C1034" t="str">
        <x:f>IF($N$23="","",$N$23)</x:f>
      </x:c>
      <x:c r="D1034" s="88" t="str">
        <x:f>IF(C1034="","",I1014)</x:f>
      </x:c>
      <x:c r="E1034" s="88" t="str">
        <x:f>IF(C1034="","",ROUND(D1034*$P$23/12,2))</x:f>
      </x:c>
      <x:c r="F1034" s="88" t="str">
        <x:f>IF(C1034="","",MIN(D1034+E1034,$Q$23))</x:f>
      </x:c>
      <x:c r="G1034" s="88" t="str">
        <x:f>IF(C1034="","",MIN(MAX(0,D1034+E1034-F1034),SUMIFS(SONDERZAHLUNGEN!$E$9:$E$128,SONDERZAHLUNGEN!$B$9:$B$128,C1034,SONDERZAHLUNGEN!$C$9:$C$128,A1034,SONDERZAHLUNGEN!$H$9:$H$128,"OK",SONDERZAHLUNGEN!$F$9:$F$128,"Ja")))</x:f>
      </x:c>
      <x:c r="H1034" s="88" t="str">
        <x:f>IF(C1034="","",MIN(MAX(0,D1034+E1034-F1034-G1034),MAX(0,IF(MONATSBUDGET!$C$58="",0,MONATSBUDGET!$C$58)-SUM(F1020:F1039)-SUM(H1020:H1033))))</x:f>
      </x:c>
      <x:c r="I1034" s="88" t="str">
        <x:f>IF(C1034="","",MAX(0,ROUND(D1034+E1034-F1034-G1034-H1034,2)))</x:f>
      </x:c>
      <x:c r="J1034" s="88" t="str">
        <x:f>IF(C1034="","",F1034+G1034+H1034)</x:f>
      </x:c>
      <x:c r="K1034" s="88" t="str">
        <x:f>IF(C1034="","",MAX(0,SUMIFS(SONDERZAHLUNGEN!$E$9:$E$128,SONDERZAHLUNGEN!$B$9:$B$128,C1034,SONDERZAHLUNGEN!$C$9:$C$128,A1034,SONDERZAHLUNGEN!$H$9:$H$128,"OK",SONDERZAHLUNGEN!$F$9:$F$128,"Ja")-G1034))</x:f>
      </x:c>
    </x:row>
    <x:row r="1035" ht="19" customHeight="1">
      <x:c r="A1035" s="90" t="n">
        <x:f>MONATSBUDGET!$A$58</x:f>
        <x:v>47757</x:v>
      </x:c>
      <x:c r="B1035" t="n">
        <x:f>16</x:f>
        <x:v>16</x:v>
      </x:c>
      <x:c r="C1035" t="str">
        <x:f>IF($N$24="","",$N$24)</x:f>
      </x:c>
      <x:c r="D1035" s="88" t="str">
        <x:f>IF(C1035="","",I1015)</x:f>
      </x:c>
      <x:c r="E1035" s="88" t="str">
        <x:f>IF(C1035="","",ROUND(D1035*$P$24/12,2))</x:f>
      </x:c>
      <x:c r="F1035" s="88" t="str">
        <x:f>IF(C1035="","",MIN(D1035+E1035,$Q$24))</x:f>
      </x:c>
      <x:c r="G1035" s="88" t="str">
        <x:f>IF(C1035="","",MIN(MAX(0,D1035+E1035-F1035),SUMIFS(SONDERZAHLUNGEN!$E$9:$E$128,SONDERZAHLUNGEN!$B$9:$B$128,C1035,SONDERZAHLUNGEN!$C$9:$C$128,A1035,SONDERZAHLUNGEN!$H$9:$H$128,"OK",SONDERZAHLUNGEN!$F$9:$F$128,"Ja")))</x:f>
      </x:c>
      <x:c r="H1035" s="88" t="str">
        <x:f>IF(C1035="","",MIN(MAX(0,D1035+E1035-F1035-G1035),MAX(0,IF(MONATSBUDGET!$C$58="",0,MONATSBUDGET!$C$58)-SUM(F1020:F1039)-SUM(H1020:H1034))))</x:f>
      </x:c>
      <x:c r="I1035" s="88" t="str">
        <x:f>IF(C1035="","",MAX(0,ROUND(D1035+E1035-F1035-G1035-H1035,2)))</x:f>
      </x:c>
      <x:c r="J1035" s="88" t="str">
        <x:f>IF(C1035="","",F1035+G1035+H1035)</x:f>
      </x:c>
      <x:c r="K1035" s="88" t="str">
        <x:f>IF(C1035="","",MAX(0,SUMIFS(SONDERZAHLUNGEN!$E$9:$E$128,SONDERZAHLUNGEN!$B$9:$B$128,C1035,SONDERZAHLUNGEN!$C$9:$C$128,A1035,SONDERZAHLUNGEN!$H$9:$H$128,"OK",SONDERZAHLUNGEN!$F$9:$F$128,"Ja")-G1035))</x:f>
      </x:c>
    </x:row>
    <x:row r="1036" ht="19" customHeight="1">
      <x:c r="A1036" s="90" t="n">
        <x:f>MONATSBUDGET!$A$58</x:f>
        <x:v>47757</x:v>
      </x:c>
      <x:c r="B1036" t="n">
        <x:f>17</x:f>
        <x:v>17</x:v>
      </x:c>
      <x:c r="C1036" t="str">
        <x:f>IF($N$25="","",$N$25)</x:f>
      </x:c>
      <x:c r="D1036" s="88" t="str">
        <x:f>IF(C1036="","",I1016)</x:f>
      </x:c>
      <x:c r="E1036" s="88" t="str">
        <x:f>IF(C1036="","",ROUND(D1036*$P$25/12,2))</x:f>
      </x:c>
      <x:c r="F1036" s="88" t="str">
        <x:f>IF(C1036="","",MIN(D1036+E1036,$Q$25))</x:f>
      </x:c>
      <x:c r="G1036" s="88" t="str">
        <x:f>IF(C1036="","",MIN(MAX(0,D1036+E1036-F1036),SUMIFS(SONDERZAHLUNGEN!$E$9:$E$128,SONDERZAHLUNGEN!$B$9:$B$128,C1036,SONDERZAHLUNGEN!$C$9:$C$128,A1036,SONDERZAHLUNGEN!$H$9:$H$128,"OK",SONDERZAHLUNGEN!$F$9:$F$128,"Ja")))</x:f>
      </x:c>
      <x:c r="H1036" s="88" t="str">
        <x:f>IF(C1036="","",MIN(MAX(0,D1036+E1036-F1036-G1036),MAX(0,IF(MONATSBUDGET!$C$58="",0,MONATSBUDGET!$C$58)-SUM(F1020:F1039)-SUM(H1020:H1035))))</x:f>
      </x:c>
      <x:c r="I1036" s="88" t="str">
        <x:f>IF(C1036="","",MAX(0,ROUND(D1036+E1036-F1036-G1036-H1036,2)))</x:f>
      </x:c>
      <x:c r="J1036" s="88" t="str">
        <x:f>IF(C1036="","",F1036+G1036+H1036)</x:f>
      </x:c>
      <x:c r="K1036" s="88" t="str">
        <x:f>IF(C1036="","",MAX(0,SUMIFS(SONDERZAHLUNGEN!$E$9:$E$128,SONDERZAHLUNGEN!$B$9:$B$128,C1036,SONDERZAHLUNGEN!$C$9:$C$128,A1036,SONDERZAHLUNGEN!$H$9:$H$128,"OK",SONDERZAHLUNGEN!$F$9:$F$128,"Ja")-G1036))</x:f>
      </x:c>
    </x:row>
    <x:row r="1037" ht="19" customHeight="1">
      <x:c r="A1037" s="90" t="n">
        <x:f>MONATSBUDGET!$A$58</x:f>
        <x:v>47757</x:v>
      </x:c>
      <x:c r="B1037" t="n">
        <x:f>18</x:f>
        <x:v>18</x:v>
      </x:c>
      <x:c r="C1037" t="str">
        <x:f>IF($N$26="","",$N$26)</x:f>
      </x:c>
      <x:c r="D1037" s="88" t="str">
        <x:f>IF(C1037="","",I1017)</x:f>
      </x:c>
      <x:c r="E1037" s="88" t="str">
        <x:f>IF(C1037="","",ROUND(D1037*$P$26/12,2))</x:f>
      </x:c>
      <x:c r="F1037" s="88" t="str">
        <x:f>IF(C1037="","",MIN(D1037+E1037,$Q$26))</x:f>
      </x:c>
      <x:c r="G1037" s="88" t="str">
        <x:f>IF(C1037="","",MIN(MAX(0,D1037+E1037-F1037),SUMIFS(SONDERZAHLUNGEN!$E$9:$E$128,SONDERZAHLUNGEN!$B$9:$B$128,C1037,SONDERZAHLUNGEN!$C$9:$C$128,A1037,SONDERZAHLUNGEN!$H$9:$H$128,"OK",SONDERZAHLUNGEN!$F$9:$F$128,"Ja")))</x:f>
      </x:c>
      <x:c r="H1037" s="88" t="str">
        <x:f>IF(C1037="","",MIN(MAX(0,D1037+E1037-F1037-G1037),MAX(0,IF(MONATSBUDGET!$C$58="",0,MONATSBUDGET!$C$58)-SUM(F1020:F1039)-SUM(H1020:H1036))))</x:f>
      </x:c>
      <x:c r="I1037" s="88" t="str">
        <x:f>IF(C1037="","",MAX(0,ROUND(D1037+E1037-F1037-G1037-H1037,2)))</x:f>
      </x:c>
      <x:c r="J1037" s="88" t="str">
        <x:f>IF(C1037="","",F1037+G1037+H1037)</x:f>
      </x:c>
      <x:c r="K1037" s="88" t="str">
        <x:f>IF(C1037="","",MAX(0,SUMIFS(SONDERZAHLUNGEN!$E$9:$E$128,SONDERZAHLUNGEN!$B$9:$B$128,C1037,SONDERZAHLUNGEN!$C$9:$C$128,A1037,SONDERZAHLUNGEN!$H$9:$H$128,"OK",SONDERZAHLUNGEN!$F$9:$F$128,"Ja")-G1037))</x:f>
      </x:c>
    </x:row>
    <x:row r="1038" ht="19" customHeight="1">
      <x:c r="A1038" s="90" t="n">
        <x:f>MONATSBUDGET!$A$58</x:f>
        <x:v>47757</x:v>
      </x:c>
      <x:c r="B1038" t="n">
        <x:f>19</x:f>
        <x:v>19</x:v>
      </x:c>
      <x:c r="C1038" t="str">
        <x:f>IF($N$27="","",$N$27)</x:f>
      </x:c>
      <x:c r="D1038" s="88" t="str">
        <x:f>IF(C1038="","",I1018)</x:f>
      </x:c>
      <x:c r="E1038" s="88" t="str">
        <x:f>IF(C1038="","",ROUND(D1038*$P$27/12,2))</x:f>
      </x:c>
      <x:c r="F1038" s="88" t="str">
        <x:f>IF(C1038="","",MIN(D1038+E1038,$Q$27))</x:f>
      </x:c>
      <x:c r="G1038" s="88" t="str">
        <x:f>IF(C1038="","",MIN(MAX(0,D1038+E1038-F1038),SUMIFS(SONDERZAHLUNGEN!$E$9:$E$128,SONDERZAHLUNGEN!$B$9:$B$128,C1038,SONDERZAHLUNGEN!$C$9:$C$128,A1038,SONDERZAHLUNGEN!$H$9:$H$128,"OK",SONDERZAHLUNGEN!$F$9:$F$128,"Ja")))</x:f>
      </x:c>
      <x:c r="H1038" s="88" t="str">
        <x:f>IF(C1038="","",MIN(MAX(0,D1038+E1038-F1038-G1038),MAX(0,IF(MONATSBUDGET!$C$58="",0,MONATSBUDGET!$C$58)-SUM(F1020:F1039)-SUM(H1020:H1037))))</x:f>
      </x:c>
      <x:c r="I1038" s="88" t="str">
        <x:f>IF(C1038="","",MAX(0,ROUND(D1038+E1038-F1038-G1038-H1038,2)))</x:f>
      </x:c>
      <x:c r="J1038" s="88" t="str">
        <x:f>IF(C1038="","",F1038+G1038+H1038)</x:f>
      </x:c>
      <x:c r="K1038" s="88" t="str">
        <x:f>IF(C1038="","",MAX(0,SUMIFS(SONDERZAHLUNGEN!$E$9:$E$128,SONDERZAHLUNGEN!$B$9:$B$128,C1038,SONDERZAHLUNGEN!$C$9:$C$128,A1038,SONDERZAHLUNGEN!$H$9:$H$128,"OK",SONDERZAHLUNGEN!$F$9:$F$128,"Ja")-G1038))</x:f>
      </x:c>
    </x:row>
    <x:row r="1039" ht="19" customHeight="1">
      <x:c r="A1039" s="90" t="n">
        <x:f>MONATSBUDGET!$A$58</x:f>
        <x:v>47757</x:v>
      </x:c>
      <x:c r="B1039" t="n">
        <x:f>20</x:f>
        <x:v>20</x:v>
      </x:c>
      <x:c r="C1039" t="str">
        <x:f>IF($N$28="","",$N$28)</x:f>
      </x:c>
      <x:c r="D1039" s="88" t="str">
        <x:f>IF(C1039="","",I1019)</x:f>
      </x:c>
      <x:c r="E1039" s="88" t="str">
        <x:f>IF(C1039="","",ROUND(D1039*$P$28/12,2))</x:f>
      </x:c>
      <x:c r="F1039" s="88" t="str">
        <x:f>IF(C1039="","",MIN(D1039+E1039,$Q$28))</x:f>
      </x:c>
      <x:c r="G1039" s="88" t="str">
        <x:f>IF(C1039="","",MIN(MAX(0,D1039+E1039-F1039),SUMIFS(SONDERZAHLUNGEN!$E$9:$E$128,SONDERZAHLUNGEN!$B$9:$B$128,C1039,SONDERZAHLUNGEN!$C$9:$C$128,A1039,SONDERZAHLUNGEN!$H$9:$H$128,"OK",SONDERZAHLUNGEN!$F$9:$F$128,"Ja")))</x:f>
      </x:c>
      <x:c r="H1039" s="88" t="str">
        <x:f>IF(C1039="","",MIN(MAX(0,D1039+E1039-F1039-G1039),MAX(0,IF(MONATSBUDGET!$C$58="",0,MONATSBUDGET!$C$58)-SUM(F1020:F1039)-SUM(H1020:H1038))))</x:f>
      </x:c>
      <x:c r="I1039" s="88" t="str">
        <x:f>IF(C1039="","",MAX(0,ROUND(D1039+E1039-F1039-G1039-H1039,2)))</x:f>
      </x:c>
      <x:c r="J1039" s="88" t="str">
        <x:f>IF(C1039="","",F1039+G1039+H1039)</x:f>
      </x:c>
      <x:c r="K1039" s="88" t="str">
        <x:f>IF(C1039="","",MAX(0,SUMIFS(SONDERZAHLUNGEN!$E$9:$E$128,SONDERZAHLUNGEN!$B$9:$B$128,C1039,SONDERZAHLUNGEN!$C$9:$C$128,A1039,SONDERZAHLUNGEN!$H$9:$H$128,"OK",SONDERZAHLUNGEN!$F$9:$F$128,"Ja")-G1039))</x:f>
      </x:c>
    </x:row>
    <x:row r="1040" ht="19" customHeight="1">
      <x:c r="A1040" s="90" t="n">
        <x:f>MONATSBUDGET!$A$59</x:f>
        <x:v>47788</x:v>
      </x:c>
      <x:c r="B1040" t="n">
        <x:f>1</x:f>
        <x:v>1</x:v>
      </x:c>
      <x:c r="C1040" t="str">
        <x:f>IF($N$9="","",$N$9)</x:f>
      </x:c>
      <x:c r="D1040" s="88" t="str">
        <x:f>IF(C1040="","",I1020)</x:f>
      </x:c>
      <x:c r="E1040" s="88" t="str">
        <x:f>IF(C1040="","",ROUND(D1040*$P$9/12,2))</x:f>
      </x:c>
      <x:c r="F1040" s="88" t="str">
        <x:f>IF(C1040="","",MIN(D1040+E1040,$Q$9))</x:f>
      </x:c>
      <x:c r="G1040" s="88" t="str">
        <x:f>IF(C1040="","",MIN(MAX(0,D1040+E1040-F1040),SUMIFS(SONDERZAHLUNGEN!$E$9:$E$128,SONDERZAHLUNGEN!$B$9:$B$128,C1040,SONDERZAHLUNGEN!$C$9:$C$128,A1040,SONDERZAHLUNGEN!$H$9:$H$128,"OK",SONDERZAHLUNGEN!$F$9:$F$128,"Ja")))</x:f>
      </x:c>
      <x:c r="H1040" s="88" t="str">
        <x:f>IF(C1040="","",MIN(MAX(0,D1040+E1040-F1040-G1040),MAX(0,IF(MONATSBUDGET!$C$59="",0,MONATSBUDGET!$C$59)-SUM(F1040:F1059)-0)))</x:f>
      </x:c>
      <x:c r="I1040" s="88" t="str">
        <x:f>IF(C1040="","",MAX(0,ROUND(D1040+E1040-F1040-G1040-H1040,2)))</x:f>
      </x:c>
      <x:c r="J1040" s="88" t="str">
        <x:f>IF(C1040="","",F1040+G1040+H1040)</x:f>
      </x:c>
      <x:c r="K1040" s="88" t="str">
        <x:f>IF(C1040="","",MAX(0,SUMIFS(SONDERZAHLUNGEN!$E$9:$E$128,SONDERZAHLUNGEN!$B$9:$B$128,C1040,SONDERZAHLUNGEN!$C$9:$C$128,A1040,SONDERZAHLUNGEN!$H$9:$H$128,"OK",SONDERZAHLUNGEN!$F$9:$F$128,"Ja")-G1040))</x:f>
      </x:c>
    </x:row>
    <x:row r="1041" ht="19" customHeight="1">
      <x:c r="A1041" s="90" t="n">
        <x:f>MONATSBUDGET!$A$59</x:f>
        <x:v>47788</x:v>
      </x:c>
      <x:c r="B1041" t="n">
        <x:f>2</x:f>
        <x:v>2</x:v>
      </x:c>
      <x:c r="C1041" t="str">
        <x:f>IF($N$10="","",$N$10)</x:f>
      </x:c>
      <x:c r="D1041" s="88" t="str">
        <x:f>IF(C1041="","",I1021)</x:f>
      </x:c>
      <x:c r="E1041" s="88" t="str">
        <x:f>IF(C1041="","",ROUND(D1041*$P$10/12,2))</x:f>
      </x:c>
      <x:c r="F1041" s="88" t="str">
        <x:f>IF(C1041="","",MIN(D1041+E1041,$Q$10))</x:f>
      </x:c>
      <x:c r="G1041" s="88" t="str">
        <x:f>IF(C1041="","",MIN(MAX(0,D1041+E1041-F1041),SUMIFS(SONDERZAHLUNGEN!$E$9:$E$128,SONDERZAHLUNGEN!$B$9:$B$128,C1041,SONDERZAHLUNGEN!$C$9:$C$128,A1041,SONDERZAHLUNGEN!$H$9:$H$128,"OK",SONDERZAHLUNGEN!$F$9:$F$128,"Ja")))</x:f>
      </x:c>
      <x:c r="H1041" s="88" t="str">
        <x:f>IF(C1041="","",MIN(MAX(0,D1041+E1041-F1041-G1041),MAX(0,IF(MONATSBUDGET!$C$59="",0,MONATSBUDGET!$C$59)-SUM(F1040:F1059)-SUM(H1040:H1040))))</x:f>
      </x:c>
      <x:c r="I1041" s="88" t="str">
        <x:f>IF(C1041="","",MAX(0,ROUND(D1041+E1041-F1041-G1041-H1041,2)))</x:f>
      </x:c>
      <x:c r="J1041" s="88" t="str">
        <x:f>IF(C1041="","",F1041+G1041+H1041)</x:f>
      </x:c>
      <x:c r="K1041" s="88" t="str">
        <x:f>IF(C1041="","",MAX(0,SUMIFS(SONDERZAHLUNGEN!$E$9:$E$128,SONDERZAHLUNGEN!$B$9:$B$128,C1041,SONDERZAHLUNGEN!$C$9:$C$128,A1041,SONDERZAHLUNGEN!$H$9:$H$128,"OK",SONDERZAHLUNGEN!$F$9:$F$128,"Ja")-G1041))</x:f>
      </x:c>
    </x:row>
    <x:row r="1042" ht="19" customHeight="1">
      <x:c r="A1042" s="90" t="n">
        <x:f>MONATSBUDGET!$A$59</x:f>
        <x:v>47788</x:v>
      </x:c>
      <x:c r="B1042" t="n">
        <x:f>3</x:f>
        <x:v>3</x:v>
      </x:c>
      <x:c r="C1042" t="str">
        <x:f>IF($N$11="","",$N$11)</x:f>
      </x:c>
      <x:c r="D1042" s="88" t="str">
        <x:f>IF(C1042="","",I1022)</x:f>
      </x:c>
      <x:c r="E1042" s="88" t="str">
        <x:f>IF(C1042="","",ROUND(D1042*$P$11/12,2))</x:f>
      </x:c>
      <x:c r="F1042" s="88" t="str">
        <x:f>IF(C1042="","",MIN(D1042+E1042,$Q$11))</x:f>
      </x:c>
      <x:c r="G1042" s="88" t="str">
        <x:f>IF(C1042="","",MIN(MAX(0,D1042+E1042-F1042),SUMIFS(SONDERZAHLUNGEN!$E$9:$E$128,SONDERZAHLUNGEN!$B$9:$B$128,C1042,SONDERZAHLUNGEN!$C$9:$C$128,A1042,SONDERZAHLUNGEN!$H$9:$H$128,"OK",SONDERZAHLUNGEN!$F$9:$F$128,"Ja")))</x:f>
      </x:c>
      <x:c r="H1042" s="88" t="str">
        <x:f>IF(C1042="","",MIN(MAX(0,D1042+E1042-F1042-G1042),MAX(0,IF(MONATSBUDGET!$C$59="",0,MONATSBUDGET!$C$59)-SUM(F1040:F1059)-SUM(H1040:H1041))))</x:f>
      </x:c>
      <x:c r="I1042" s="88" t="str">
        <x:f>IF(C1042="","",MAX(0,ROUND(D1042+E1042-F1042-G1042-H1042,2)))</x:f>
      </x:c>
      <x:c r="J1042" s="88" t="str">
        <x:f>IF(C1042="","",F1042+G1042+H1042)</x:f>
      </x:c>
      <x:c r="K1042" s="88" t="str">
        <x:f>IF(C1042="","",MAX(0,SUMIFS(SONDERZAHLUNGEN!$E$9:$E$128,SONDERZAHLUNGEN!$B$9:$B$128,C1042,SONDERZAHLUNGEN!$C$9:$C$128,A1042,SONDERZAHLUNGEN!$H$9:$H$128,"OK",SONDERZAHLUNGEN!$F$9:$F$128,"Ja")-G1042))</x:f>
      </x:c>
    </x:row>
    <x:row r="1043" ht="19" customHeight="1">
      <x:c r="A1043" s="90" t="n">
        <x:f>MONATSBUDGET!$A$59</x:f>
        <x:v>47788</x:v>
      </x:c>
      <x:c r="B1043" t="n">
        <x:f>4</x:f>
        <x:v>4</x:v>
      </x:c>
      <x:c r="C1043" t="str">
        <x:f>IF($N$12="","",$N$12)</x:f>
      </x:c>
      <x:c r="D1043" s="88" t="str">
        <x:f>IF(C1043="","",I1023)</x:f>
      </x:c>
      <x:c r="E1043" s="88" t="str">
        <x:f>IF(C1043="","",ROUND(D1043*$P$12/12,2))</x:f>
      </x:c>
      <x:c r="F1043" s="88" t="str">
        <x:f>IF(C1043="","",MIN(D1043+E1043,$Q$12))</x:f>
      </x:c>
      <x:c r="G1043" s="88" t="str">
        <x:f>IF(C1043="","",MIN(MAX(0,D1043+E1043-F1043),SUMIFS(SONDERZAHLUNGEN!$E$9:$E$128,SONDERZAHLUNGEN!$B$9:$B$128,C1043,SONDERZAHLUNGEN!$C$9:$C$128,A1043,SONDERZAHLUNGEN!$H$9:$H$128,"OK",SONDERZAHLUNGEN!$F$9:$F$128,"Ja")))</x:f>
      </x:c>
      <x:c r="H1043" s="88" t="str">
        <x:f>IF(C1043="","",MIN(MAX(0,D1043+E1043-F1043-G1043),MAX(0,IF(MONATSBUDGET!$C$59="",0,MONATSBUDGET!$C$59)-SUM(F1040:F1059)-SUM(H1040:H1042))))</x:f>
      </x:c>
      <x:c r="I1043" s="88" t="str">
        <x:f>IF(C1043="","",MAX(0,ROUND(D1043+E1043-F1043-G1043-H1043,2)))</x:f>
      </x:c>
      <x:c r="J1043" s="88" t="str">
        <x:f>IF(C1043="","",F1043+G1043+H1043)</x:f>
      </x:c>
      <x:c r="K1043" s="88" t="str">
        <x:f>IF(C1043="","",MAX(0,SUMIFS(SONDERZAHLUNGEN!$E$9:$E$128,SONDERZAHLUNGEN!$B$9:$B$128,C1043,SONDERZAHLUNGEN!$C$9:$C$128,A1043,SONDERZAHLUNGEN!$H$9:$H$128,"OK",SONDERZAHLUNGEN!$F$9:$F$128,"Ja")-G1043))</x:f>
      </x:c>
    </x:row>
    <x:row r="1044" ht="19" customHeight="1">
      <x:c r="A1044" s="90" t="n">
        <x:f>MONATSBUDGET!$A$59</x:f>
        <x:v>47788</x:v>
      </x:c>
      <x:c r="B1044" t="n">
        <x:f>5</x:f>
        <x:v>5</x:v>
      </x:c>
      <x:c r="C1044" t="str">
        <x:f>IF($N$13="","",$N$13)</x:f>
      </x:c>
      <x:c r="D1044" s="88" t="str">
        <x:f>IF(C1044="","",I1024)</x:f>
      </x:c>
      <x:c r="E1044" s="88" t="str">
        <x:f>IF(C1044="","",ROUND(D1044*$P$13/12,2))</x:f>
      </x:c>
      <x:c r="F1044" s="88" t="str">
        <x:f>IF(C1044="","",MIN(D1044+E1044,$Q$13))</x:f>
      </x:c>
      <x:c r="G1044" s="88" t="str">
        <x:f>IF(C1044="","",MIN(MAX(0,D1044+E1044-F1044),SUMIFS(SONDERZAHLUNGEN!$E$9:$E$128,SONDERZAHLUNGEN!$B$9:$B$128,C1044,SONDERZAHLUNGEN!$C$9:$C$128,A1044,SONDERZAHLUNGEN!$H$9:$H$128,"OK",SONDERZAHLUNGEN!$F$9:$F$128,"Ja")))</x:f>
      </x:c>
      <x:c r="H1044" s="88" t="str">
        <x:f>IF(C1044="","",MIN(MAX(0,D1044+E1044-F1044-G1044),MAX(0,IF(MONATSBUDGET!$C$59="",0,MONATSBUDGET!$C$59)-SUM(F1040:F1059)-SUM(H1040:H1043))))</x:f>
      </x:c>
      <x:c r="I1044" s="88" t="str">
        <x:f>IF(C1044="","",MAX(0,ROUND(D1044+E1044-F1044-G1044-H1044,2)))</x:f>
      </x:c>
      <x:c r="J1044" s="88" t="str">
        <x:f>IF(C1044="","",F1044+G1044+H1044)</x:f>
      </x:c>
      <x:c r="K1044" s="88" t="str">
        <x:f>IF(C1044="","",MAX(0,SUMIFS(SONDERZAHLUNGEN!$E$9:$E$128,SONDERZAHLUNGEN!$B$9:$B$128,C1044,SONDERZAHLUNGEN!$C$9:$C$128,A1044,SONDERZAHLUNGEN!$H$9:$H$128,"OK",SONDERZAHLUNGEN!$F$9:$F$128,"Ja")-G1044))</x:f>
      </x:c>
    </x:row>
    <x:row r="1045" ht="19" customHeight="1">
      <x:c r="A1045" s="90" t="n">
        <x:f>MONATSBUDGET!$A$59</x:f>
        <x:v>47788</x:v>
      </x:c>
      <x:c r="B1045" t="n">
        <x:f>6</x:f>
        <x:v>6</x:v>
      </x:c>
      <x:c r="C1045" t="str">
        <x:f>IF($N$14="","",$N$14)</x:f>
      </x:c>
      <x:c r="D1045" s="88" t="str">
        <x:f>IF(C1045="","",I1025)</x:f>
      </x:c>
      <x:c r="E1045" s="88" t="str">
        <x:f>IF(C1045="","",ROUND(D1045*$P$14/12,2))</x:f>
      </x:c>
      <x:c r="F1045" s="88" t="str">
        <x:f>IF(C1045="","",MIN(D1045+E1045,$Q$14))</x:f>
      </x:c>
      <x:c r="G1045" s="88" t="str">
        <x:f>IF(C1045="","",MIN(MAX(0,D1045+E1045-F1045),SUMIFS(SONDERZAHLUNGEN!$E$9:$E$128,SONDERZAHLUNGEN!$B$9:$B$128,C1045,SONDERZAHLUNGEN!$C$9:$C$128,A1045,SONDERZAHLUNGEN!$H$9:$H$128,"OK",SONDERZAHLUNGEN!$F$9:$F$128,"Ja")))</x:f>
      </x:c>
      <x:c r="H1045" s="88" t="str">
        <x:f>IF(C1045="","",MIN(MAX(0,D1045+E1045-F1045-G1045),MAX(0,IF(MONATSBUDGET!$C$59="",0,MONATSBUDGET!$C$59)-SUM(F1040:F1059)-SUM(H1040:H1044))))</x:f>
      </x:c>
      <x:c r="I1045" s="88" t="str">
        <x:f>IF(C1045="","",MAX(0,ROUND(D1045+E1045-F1045-G1045-H1045,2)))</x:f>
      </x:c>
      <x:c r="J1045" s="88" t="str">
        <x:f>IF(C1045="","",F1045+G1045+H1045)</x:f>
      </x:c>
      <x:c r="K1045" s="88" t="str">
        <x:f>IF(C1045="","",MAX(0,SUMIFS(SONDERZAHLUNGEN!$E$9:$E$128,SONDERZAHLUNGEN!$B$9:$B$128,C1045,SONDERZAHLUNGEN!$C$9:$C$128,A1045,SONDERZAHLUNGEN!$H$9:$H$128,"OK",SONDERZAHLUNGEN!$F$9:$F$128,"Ja")-G1045))</x:f>
      </x:c>
    </x:row>
    <x:row r="1046" ht="19" customHeight="1">
      <x:c r="A1046" s="90" t="n">
        <x:f>MONATSBUDGET!$A$59</x:f>
        <x:v>47788</x:v>
      </x:c>
      <x:c r="B1046" t="n">
        <x:f>7</x:f>
        <x:v>7</x:v>
      </x:c>
      <x:c r="C1046" t="str">
        <x:f>IF($N$15="","",$N$15)</x:f>
      </x:c>
      <x:c r="D1046" s="88" t="str">
        <x:f>IF(C1046="","",I1026)</x:f>
      </x:c>
      <x:c r="E1046" s="88" t="str">
        <x:f>IF(C1046="","",ROUND(D1046*$P$15/12,2))</x:f>
      </x:c>
      <x:c r="F1046" s="88" t="str">
        <x:f>IF(C1046="","",MIN(D1046+E1046,$Q$15))</x:f>
      </x:c>
      <x:c r="G1046" s="88" t="str">
        <x:f>IF(C1046="","",MIN(MAX(0,D1046+E1046-F1046),SUMIFS(SONDERZAHLUNGEN!$E$9:$E$128,SONDERZAHLUNGEN!$B$9:$B$128,C1046,SONDERZAHLUNGEN!$C$9:$C$128,A1046,SONDERZAHLUNGEN!$H$9:$H$128,"OK",SONDERZAHLUNGEN!$F$9:$F$128,"Ja")))</x:f>
      </x:c>
      <x:c r="H1046" s="88" t="str">
        <x:f>IF(C1046="","",MIN(MAX(0,D1046+E1046-F1046-G1046),MAX(0,IF(MONATSBUDGET!$C$59="",0,MONATSBUDGET!$C$59)-SUM(F1040:F1059)-SUM(H1040:H1045))))</x:f>
      </x:c>
      <x:c r="I1046" s="88" t="str">
        <x:f>IF(C1046="","",MAX(0,ROUND(D1046+E1046-F1046-G1046-H1046,2)))</x:f>
      </x:c>
      <x:c r="J1046" s="88" t="str">
        <x:f>IF(C1046="","",F1046+G1046+H1046)</x:f>
      </x:c>
      <x:c r="K1046" s="88" t="str">
        <x:f>IF(C1046="","",MAX(0,SUMIFS(SONDERZAHLUNGEN!$E$9:$E$128,SONDERZAHLUNGEN!$B$9:$B$128,C1046,SONDERZAHLUNGEN!$C$9:$C$128,A1046,SONDERZAHLUNGEN!$H$9:$H$128,"OK",SONDERZAHLUNGEN!$F$9:$F$128,"Ja")-G1046))</x:f>
      </x:c>
    </x:row>
    <x:row r="1047" ht="19" customHeight="1">
      <x:c r="A1047" s="90" t="n">
        <x:f>MONATSBUDGET!$A$59</x:f>
        <x:v>47788</x:v>
      </x:c>
      <x:c r="B1047" t="n">
        <x:f>8</x:f>
        <x:v>8</x:v>
      </x:c>
      <x:c r="C1047" t="str">
        <x:f>IF($N$16="","",$N$16)</x:f>
      </x:c>
      <x:c r="D1047" s="88" t="str">
        <x:f>IF(C1047="","",I1027)</x:f>
      </x:c>
      <x:c r="E1047" s="88" t="str">
        <x:f>IF(C1047="","",ROUND(D1047*$P$16/12,2))</x:f>
      </x:c>
      <x:c r="F1047" s="88" t="str">
        <x:f>IF(C1047="","",MIN(D1047+E1047,$Q$16))</x:f>
      </x:c>
      <x:c r="G1047" s="88" t="str">
        <x:f>IF(C1047="","",MIN(MAX(0,D1047+E1047-F1047),SUMIFS(SONDERZAHLUNGEN!$E$9:$E$128,SONDERZAHLUNGEN!$B$9:$B$128,C1047,SONDERZAHLUNGEN!$C$9:$C$128,A1047,SONDERZAHLUNGEN!$H$9:$H$128,"OK",SONDERZAHLUNGEN!$F$9:$F$128,"Ja")))</x:f>
      </x:c>
      <x:c r="H1047" s="88" t="str">
        <x:f>IF(C1047="","",MIN(MAX(0,D1047+E1047-F1047-G1047),MAX(0,IF(MONATSBUDGET!$C$59="",0,MONATSBUDGET!$C$59)-SUM(F1040:F1059)-SUM(H1040:H1046))))</x:f>
      </x:c>
      <x:c r="I1047" s="88" t="str">
        <x:f>IF(C1047="","",MAX(0,ROUND(D1047+E1047-F1047-G1047-H1047,2)))</x:f>
      </x:c>
      <x:c r="J1047" s="88" t="str">
        <x:f>IF(C1047="","",F1047+G1047+H1047)</x:f>
      </x:c>
      <x:c r="K1047" s="88" t="str">
        <x:f>IF(C1047="","",MAX(0,SUMIFS(SONDERZAHLUNGEN!$E$9:$E$128,SONDERZAHLUNGEN!$B$9:$B$128,C1047,SONDERZAHLUNGEN!$C$9:$C$128,A1047,SONDERZAHLUNGEN!$H$9:$H$128,"OK",SONDERZAHLUNGEN!$F$9:$F$128,"Ja")-G1047))</x:f>
      </x:c>
    </x:row>
    <x:row r="1048" ht="19" customHeight="1">
      <x:c r="A1048" s="90" t="n">
        <x:f>MONATSBUDGET!$A$59</x:f>
        <x:v>47788</x:v>
      </x:c>
      <x:c r="B1048" t="n">
        <x:f>9</x:f>
        <x:v>9</x:v>
      </x:c>
      <x:c r="C1048" t="str">
        <x:f>IF($N$17="","",$N$17)</x:f>
      </x:c>
      <x:c r="D1048" s="88" t="str">
        <x:f>IF(C1048="","",I1028)</x:f>
      </x:c>
      <x:c r="E1048" s="88" t="str">
        <x:f>IF(C1048="","",ROUND(D1048*$P$17/12,2))</x:f>
      </x:c>
      <x:c r="F1048" s="88" t="str">
        <x:f>IF(C1048="","",MIN(D1048+E1048,$Q$17))</x:f>
      </x:c>
      <x:c r="G1048" s="88" t="str">
        <x:f>IF(C1048="","",MIN(MAX(0,D1048+E1048-F1048),SUMIFS(SONDERZAHLUNGEN!$E$9:$E$128,SONDERZAHLUNGEN!$B$9:$B$128,C1048,SONDERZAHLUNGEN!$C$9:$C$128,A1048,SONDERZAHLUNGEN!$H$9:$H$128,"OK",SONDERZAHLUNGEN!$F$9:$F$128,"Ja")))</x:f>
      </x:c>
      <x:c r="H1048" s="88" t="str">
        <x:f>IF(C1048="","",MIN(MAX(0,D1048+E1048-F1048-G1048),MAX(0,IF(MONATSBUDGET!$C$59="",0,MONATSBUDGET!$C$59)-SUM(F1040:F1059)-SUM(H1040:H1047))))</x:f>
      </x:c>
      <x:c r="I1048" s="88" t="str">
        <x:f>IF(C1048="","",MAX(0,ROUND(D1048+E1048-F1048-G1048-H1048,2)))</x:f>
      </x:c>
      <x:c r="J1048" s="88" t="str">
        <x:f>IF(C1048="","",F1048+G1048+H1048)</x:f>
      </x:c>
      <x:c r="K1048" s="88" t="str">
        <x:f>IF(C1048="","",MAX(0,SUMIFS(SONDERZAHLUNGEN!$E$9:$E$128,SONDERZAHLUNGEN!$B$9:$B$128,C1048,SONDERZAHLUNGEN!$C$9:$C$128,A1048,SONDERZAHLUNGEN!$H$9:$H$128,"OK",SONDERZAHLUNGEN!$F$9:$F$128,"Ja")-G1048))</x:f>
      </x:c>
    </x:row>
    <x:row r="1049" ht="19" customHeight="1">
      <x:c r="A1049" s="90" t="n">
        <x:f>MONATSBUDGET!$A$59</x:f>
        <x:v>47788</x:v>
      </x:c>
      <x:c r="B1049" t="n">
        <x:f>10</x:f>
        <x:v>10</x:v>
      </x:c>
      <x:c r="C1049" t="str">
        <x:f>IF($N$18="","",$N$18)</x:f>
      </x:c>
      <x:c r="D1049" s="88" t="str">
        <x:f>IF(C1049="","",I1029)</x:f>
      </x:c>
      <x:c r="E1049" s="88" t="str">
        <x:f>IF(C1049="","",ROUND(D1049*$P$18/12,2))</x:f>
      </x:c>
      <x:c r="F1049" s="88" t="str">
        <x:f>IF(C1049="","",MIN(D1049+E1049,$Q$18))</x:f>
      </x:c>
      <x:c r="G1049" s="88" t="str">
        <x:f>IF(C1049="","",MIN(MAX(0,D1049+E1049-F1049),SUMIFS(SONDERZAHLUNGEN!$E$9:$E$128,SONDERZAHLUNGEN!$B$9:$B$128,C1049,SONDERZAHLUNGEN!$C$9:$C$128,A1049,SONDERZAHLUNGEN!$H$9:$H$128,"OK",SONDERZAHLUNGEN!$F$9:$F$128,"Ja")))</x:f>
      </x:c>
      <x:c r="H1049" s="88" t="str">
        <x:f>IF(C1049="","",MIN(MAX(0,D1049+E1049-F1049-G1049),MAX(0,IF(MONATSBUDGET!$C$59="",0,MONATSBUDGET!$C$59)-SUM(F1040:F1059)-SUM(H1040:H1048))))</x:f>
      </x:c>
      <x:c r="I1049" s="88" t="str">
        <x:f>IF(C1049="","",MAX(0,ROUND(D1049+E1049-F1049-G1049-H1049,2)))</x:f>
      </x:c>
      <x:c r="J1049" s="88" t="str">
        <x:f>IF(C1049="","",F1049+G1049+H1049)</x:f>
      </x:c>
      <x:c r="K1049" s="88" t="str">
        <x:f>IF(C1049="","",MAX(0,SUMIFS(SONDERZAHLUNGEN!$E$9:$E$128,SONDERZAHLUNGEN!$B$9:$B$128,C1049,SONDERZAHLUNGEN!$C$9:$C$128,A1049,SONDERZAHLUNGEN!$H$9:$H$128,"OK",SONDERZAHLUNGEN!$F$9:$F$128,"Ja")-G1049))</x:f>
      </x:c>
    </x:row>
    <x:row r="1050" ht="19" customHeight="1">
      <x:c r="A1050" s="90" t="n">
        <x:f>MONATSBUDGET!$A$59</x:f>
        <x:v>47788</x:v>
      </x:c>
      <x:c r="B1050" t="n">
        <x:f>11</x:f>
        <x:v>11</x:v>
      </x:c>
      <x:c r="C1050" t="str">
        <x:f>IF($N$19="","",$N$19)</x:f>
      </x:c>
      <x:c r="D1050" s="88" t="str">
        <x:f>IF(C1050="","",I1030)</x:f>
      </x:c>
      <x:c r="E1050" s="88" t="str">
        <x:f>IF(C1050="","",ROUND(D1050*$P$19/12,2))</x:f>
      </x:c>
      <x:c r="F1050" s="88" t="str">
        <x:f>IF(C1050="","",MIN(D1050+E1050,$Q$19))</x:f>
      </x:c>
      <x:c r="G1050" s="88" t="str">
        <x:f>IF(C1050="","",MIN(MAX(0,D1050+E1050-F1050),SUMIFS(SONDERZAHLUNGEN!$E$9:$E$128,SONDERZAHLUNGEN!$B$9:$B$128,C1050,SONDERZAHLUNGEN!$C$9:$C$128,A1050,SONDERZAHLUNGEN!$H$9:$H$128,"OK",SONDERZAHLUNGEN!$F$9:$F$128,"Ja")))</x:f>
      </x:c>
      <x:c r="H1050" s="88" t="str">
        <x:f>IF(C1050="","",MIN(MAX(0,D1050+E1050-F1050-G1050),MAX(0,IF(MONATSBUDGET!$C$59="",0,MONATSBUDGET!$C$59)-SUM(F1040:F1059)-SUM(H1040:H1049))))</x:f>
      </x:c>
      <x:c r="I1050" s="88" t="str">
        <x:f>IF(C1050="","",MAX(0,ROUND(D1050+E1050-F1050-G1050-H1050,2)))</x:f>
      </x:c>
      <x:c r="J1050" s="88" t="str">
        <x:f>IF(C1050="","",F1050+G1050+H1050)</x:f>
      </x:c>
      <x:c r="K1050" s="88" t="str">
        <x:f>IF(C1050="","",MAX(0,SUMIFS(SONDERZAHLUNGEN!$E$9:$E$128,SONDERZAHLUNGEN!$B$9:$B$128,C1050,SONDERZAHLUNGEN!$C$9:$C$128,A1050,SONDERZAHLUNGEN!$H$9:$H$128,"OK",SONDERZAHLUNGEN!$F$9:$F$128,"Ja")-G1050))</x:f>
      </x:c>
    </x:row>
    <x:row r="1051" ht="19" customHeight="1">
      <x:c r="A1051" s="90" t="n">
        <x:f>MONATSBUDGET!$A$59</x:f>
        <x:v>47788</x:v>
      </x:c>
      <x:c r="B1051" t="n">
        <x:f>12</x:f>
        <x:v>12</x:v>
      </x:c>
      <x:c r="C1051" t="str">
        <x:f>IF($N$20="","",$N$20)</x:f>
      </x:c>
      <x:c r="D1051" s="88" t="str">
        <x:f>IF(C1051="","",I1031)</x:f>
      </x:c>
      <x:c r="E1051" s="88" t="str">
        <x:f>IF(C1051="","",ROUND(D1051*$P$20/12,2))</x:f>
      </x:c>
      <x:c r="F1051" s="88" t="str">
        <x:f>IF(C1051="","",MIN(D1051+E1051,$Q$20))</x:f>
      </x:c>
      <x:c r="G1051" s="88" t="str">
        <x:f>IF(C1051="","",MIN(MAX(0,D1051+E1051-F1051),SUMIFS(SONDERZAHLUNGEN!$E$9:$E$128,SONDERZAHLUNGEN!$B$9:$B$128,C1051,SONDERZAHLUNGEN!$C$9:$C$128,A1051,SONDERZAHLUNGEN!$H$9:$H$128,"OK",SONDERZAHLUNGEN!$F$9:$F$128,"Ja")))</x:f>
      </x:c>
      <x:c r="H1051" s="88" t="str">
        <x:f>IF(C1051="","",MIN(MAX(0,D1051+E1051-F1051-G1051),MAX(0,IF(MONATSBUDGET!$C$59="",0,MONATSBUDGET!$C$59)-SUM(F1040:F1059)-SUM(H1040:H1050))))</x:f>
      </x:c>
      <x:c r="I1051" s="88" t="str">
        <x:f>IF(C1051="","",MAX(0,ROUND(D1051+E1051-F1051-G1051-H1051,2)))</x:f>
      </x:c>
      <x:c r="J1051" s="88" t="str">
        <x:f>IF(C1051="","",F1051+G1051+H1051)</x:f>
      </x:c>
      <x:c r="K1051" s="88" t="str">
        <x:f>IF(C1051="","",MAX(0,SUMIFS(SONDERZAHLUNGEN!$E$9:$E$128,SONDERZAHLUNGEN!$B$9:$B$128,C1051,SONDERZAHLUNGEN!$C$9:$C$128,A1051,SONDERZAHLUNGEN!$H$9:$H$128,"OK",SONDERZAHLUNGEN!$F$9:$F$128,"Ja")-G1051))</x:f>
      </x:c>
    </x:row>
    <x:row r="1052" ht="19" customHeight="1">
      <x:c r="A1052" s="90" t="n">
        <x:f>MONATSBUDGET!$A$59</x:f>
        <x:v>47788</x:v>
      </x:c>
      <x:c r="B1052" t="n">
        <x:f>13</x:f>
        <x:v>13</x:v>
      </x:c>
      <x:c r="C1052" t="str">
        <x:f>IF($N$21="","",$N$21)</x:f>
      </x:c>
      <x:c r="D1052" s="88" t="str">
        <x:f>IF(C1052="","",I1032)</x:f>
      </x:c>
      <x:c r="E1052" s="88" t="str">
        <x:f>IF(C1052="","",ROUND(D1052*$P$21/12,2))</x:f>
      </x:c>
      <x:c r="F1052" s="88" t="str">
        <x:f>IF(C1052="","",MIN(D1052+E1052,$Q$21))</x:f>
      </x:c>
      <x:c r="G1052" s="88" t="str">
        <x:f>IF(C1052="","",MIN(MAX(0,D1052+E1052-F1052),SUMIFS(SONDERZAHLUNGEN!$E$9:$E$128,SONDERZAHLUNGEN!$B$9:$B$128,C1052,SONDERZAHLUNGEN!$C$9:$C$128,A1052,SONDERZAHLUNGEN!$H$9:$H$128,"OK",SONDERZAHLUNGEN!$F$9:$F$128,"Ja")))</x:f>
      </x:c>
      <x:c r="H1052" s="88" t="str">
        <x:f>IF(C1052="","",MIN(MAX(0,D1052+E1052-F1052-G1052),MAX(0,IF(MONATSBUDGET!$C$59="",0,MONATSBUDGET!$C$59)-SUM(F1040:F1059)-SUM(H1040:H1051))))</x:f>
      </x:c>
      <x:c r="I1052" s="88" t="str">
        <x:f>IF(C1052="","",MAX(0,ROUND(D1052+E1052-F1052-G1052-H1052,2)))</x:f>
      </x:c>
      <x:c r="J1052" s="88" t="str">
        <x:f>IF(C1052="","",F1052+G1052+H1052)</x:f>
      </x:c>
      <x:c r="K1052" s="88" t="str">
        <x:f>IF(C1052="","",MAX(0,SUMIFS(SONDERZAHLUNGEN!$E$9:$E$128,SONDERZAHLUNGEN!$B$9:$B$128,C1052,SONDERZAHLUNGEN!$C$9:$C$128,A1052,SONDERZAHLUNGEN!$H$9:$H$128,"OK",SONDERZAHLUNGEN!$F$9:$F$128,"Ja")-G1052))</x:f>
      </x:c>
    </x:row>
    <x:row r="1053" ht="19" customHeight="1">
      <x:c r="A1053" s="90" t="n">
        <x:f>MONATSBUDGET!$A$59</x:f>
        <x:v>47788</x:v>
      </x:c>
      <x:c r="B1053" t="n">
        <x:f>14</x:f>
        <x:v>14</x:v>
      </x:c>
      <x:c r="C1053" t="str">
        <x:f>IF($N$22="","",$N$22)</x:f>
      </x:c>
      <x:c r="D1053" s="88" t="str">
        <x:f>IF(C1053="","",I1033)</x:f>
      </x:c>
      <x:c r="E1053" s="88" t="str">
        <x:f>IF(C1053="","",ROUND(D1053*$P$22/12,2))</x:f>
      </x:c>
      <x:c r="F1053" s="88" t="str">
        <x:f>IF(C1053="","",MIN(D1053+E1053,$Q$22))</x:f>
      </x:c>
      <x:c r="G1053" s="88" t="str">
        <x:f>IF(C1053="","",MIN(MAX(0,D1053+E1053-F1053),SUMIFS(SONDERZAHLUNGEN!$E$9:$E$128,SONDERZAHLUNGEN!$B$9:$B$128,C1053,SONDERZAHLUNGEN!$C$9:$C$128,A1053,SONDERZAHLUNGEN!$H$9:$H$128,"OK",SONDERZAHLUNGEN!$F$9:$F$128,"Ja")))</x:f>
      </x:c>
      <x:c r="H1053" s="88" t="str">
        <x:f>IF(C1053="","",MIN(MAX(0,D1053+E1053-F1053-G1053),MAX(0,IF(MONATSBUDGET!$C$59="",0,MONATSBUDGET!$C$59)-SUM(F1040:F1059)-SUM(H1040:H1052))))</x:f>
      </x:c>
      <x:c r="I1053" s="88" t="str">
        <x:f>IF(C1053="","",MAX(0,ROUND(D1053+E1053-F1053-G1053-H1053,2)))</x:f>
      </x:c>
      <x:c r="J1053" s="88" t="str">
        <x:f>IF(C1053="","",F1053+G1053+H1053)</x:f>
      </x:c>
      <x:c r="K1053" s="88" t="str">
        <x:f>IF(C1053="","",MAX(0,SUMIFS(SONDERZAHLUNGEN!$E$9:$E$128,SONDERZAHLUNGEN!$B$9:$B$128,C1053,SONDERZAHLUNGEN!$C$9:$C$128,A1053,SONDERZAHLUNGEN!$H$9:$H$128,"OK",SONDERZAHLUNGEN!$F$9:$F$128,"Ja")-G1053))</x:f>
      </x:c>
    </x:row>
    <x:row r="1054" ht="19" customHeight="1">
      <x:c r="A1054" s="90" t="n">
        <x:f>MONATSBUDGET!$A$59</x:f>
        <x:v>47788</x:v>
      </x:c>
      <x:c r="B1054" t="n">
        <x:f>15</x:f>
        <x:v>15</x:v>
      </x:c>
      <x:c r="C1054" t="str">
        <x:f>IF($N$23="","",$N$23)</x:f>
      </x:c>
      <x:c r="D1054" s="88" t="str">
        <x:f>IF(C1054="","",I1034)</x:f>
      </x:c>
      <x:c r="E1054" s="88" t="str">
        <x:f>IF(C1054="","",ROUND(D1054*$P$23/12,2))</x:f>
      </x:c>
      <x:c r="F1054" s="88" t="str">
        <x:f>IF(C1054="","",MIN(D1054+E1054,$Q$23))</x:f>
      </x:c>
      <x:c r="G1054" s="88" t="str">
        <x:f>IF(C1054="","",MIN(MAX(0,D1054+E1054-F1054),SUMIFS(SONDERZAHLUNGEN!$E$9:$E$128,SONDERZAHLUNGEN!$B$9:$B$128,C1054,SONDERZAHLUNGEN!$C$9:$C$128,A1054,SONDERZAHLUNGEN!$H$9:$H$128,"OK",SONDERZAHLUNGEN!$F$9:$F$128,"Ja")))</x:f>
      </x:c>
      <x:c r="H1054" s="88" t="str">
        <x:f>IF(C1054="","",MIN(MAX(0,D1054+E1054-F1054-G1054),MAX(0,IF(MONATSBUDGET!$C$59="",0,MONATSBUDGET!$C$59)-SUM(F1040:F1059)-SUM(H1040:H1053))))</x:f>
      </x:c>
      <x:c r="I1054" s="88" t="str">
        <x:f>IF(C1054="","",MAX(0,ROUND(D1054+E1054-F1054-G1054-H1054,2)))</x:f>
      </x:c>
      <x:c r="J1054" s="88" t="str">
        <x:f>IF(C1054="","",F1054+G1054+H1054)</x:f>
      </x:c>
      <x:c r="K1054" s="88" t="str">
        <x:f>IF(C1054="","",MAX(0,SUMIFS(SONDERZAHLUNGEN!$E$9:$E$128,SONDERZAHLUNGEN!$B$9:$B$128,C1054,SONDERZAHLUNGEN!$C$9:$C$128,A1054,SONDERZAHLUNGEN!$H$9:$H$128,"OK",SONDERZAHLUNGEN!$F$9:$F$128,"Ja")-G1054))</x:f>
      </x:c>
    </x:row>
    <x:row r="1055" ht="19" customHeight="1">
      <x:c r="A1055" s="90" t="n">
        <x:f>MONATSBUDGET!$A$59</x:f>
        <x:v>47788</x:v>
      </x:c>
      <x:c r="B1055" t="n">
        <x:f>16</x:f>
        <x:v>16</x:v>
      </x:c>
      <x:c r="C1055" t="str">
        <x:f>IF($N$24="","",$N$24)</x:f>
      </x:c>
      <x:c r="D1055" s="88" t="str">
        <x:f>IF(C1055="","",I1035)</x:f>
      </x:c>
      <x:c r="E1055" s="88" t="str">
        <x:f>IF(C1055="","",ROUND(D1055*$P$24/12,2))</x:f>
      </x:c>
      <x:c r="F1055" s="88" t="str">
        <x:f>IF(C1055="","",MIN(D1055+E1055,$Q$24))</x:f>
      </x:c>
      <x:c r="G1055" s="88" t="str">
        <x:f>IF(C1055="","",MIN(MAX(0,D1055+E1055-F1055),SUMIFS(SONDERZAHLUNGEN!$E$9:$E$128,SONDERZAHLUNGEN!$B$9:$B$128,C1055,SONDERZAHLUNGEN!$C$9:$C$128,A1055,SONDERZAHLUNGEN!$H$9:$H$128,"OK",SONDERZAHLUNGEN!$F$9:$F$128,"Ja")))</x:f>
      </x:c>
      <x:c r="H1055" s="88" t="str">
        <x:f>IF(C1055="","",MIN(MAX(0,D1055+E1055-F1055-G1055),MAX(0,IF(MONATSBUDGET!$C$59="",0,MONATSBUDGET!$C$59)-SUM(F1040:F1059)-SUM(H1040:H1054))))</x:f>
      </x:c>
      <x:c r="I1055" s="88" t="str">
        <x:f>IF(C1055="","",MAX(0,ROUND(D1055+E1055-F1055-G1055-H1055,2)))</x:f>
      </x:c>
      <x:c r="J1055" s="88" t="str">
        <x:f>IF(C1055="","",F1055+G1055+H1055)</x:f>
      </x:c>
      <x:c r="K1055" s="88" t="str">
        <x:f>IF(C1055="","",MAX(0,SUMIFS(SONDERZAHLUNGEN!$E$9:$E$128,SONDERZAHLUNGEN!$B$9:$B$128,C1055,SONDERZAHLUNGEN!$C$9:$C$128,A1055,SONDERZAHLUNGEN!$H$9:$H$128,"OK",SONDERZAHLUNGEN!$F$9:$F$128,"Ja")-G1055))</x:f>
      </x:c>
    </x:row>
    <x:row r="1056" ht="19" customHeight="1">
      <x:c r="A1056" s="90" t="n">
        <x:f>MONATSBUDGET!$A$59</x:f>
        <x:v>47788</x:v>
      </x:c>
      <x:c r="B1056" t="n">
        <x:f>17</x:f>
        <x:v>17</x:v>
      </x:c>
      <x:c r="C1056" t="str">
        <x:f>IF($N$25="","",$N$25)</x:f>
      </x:c>
      <x:c r="D1056" s="88" t="str">
        <x:f>IF(C1056="","",I1036)</x:f>
      </x:c>
      <x:c r="E1056" s="88" t="str">
        <x:f>IF(C1056="","",ROUND(D1056*$P$25/12,2))</x:f>
      </x:c>
      <x:c r="F1056" s="88" t="str">
        <x:f>IF(C1056="","",MIN(D1056+E1056,$Q$25))</x:f>
      </x:c>
      <x:c r="G1056" s="88" t="str">
        <x:f>IF(C1056="","",MIN(MAX(0,D1056+E1056-F1056),SUMIFS(SONDERZAHLUNGEN!$E$9:$E$128,SONDERZAHLUNGEN!$B$9:$B$128,C1056,SONDERZAHLUNGEN!$C$9:$C$128,A1056,SONDERZAHLUNGEN!$H$9:$H$128,"OK",SONDERZAHLUNGEN!$F$9:$F$128,"Ja")))</x:f>
      </x:c>
      <x:c r="H1056" s="88" t="str">
        <x:f>IF(C1056="","",MIN(MAX(0,D1056+E1056-F1056-G1056),MAX(0,IF(MONATSBUDGET!$C$59="",0,MONATSBUDGET!$C$59)-SUM(F1040:F1059)-SUM(H1040:H1055))))</x:f>
      </x:c>
      <x:c r="I1056" s="88" t="str">
        <x:f>IF(C1056="","",MAX(0,ROUND(D1056+E1056-F1056-G1056-H1056,2)))</x:f>
      </x:c>
      <x:c r="J1056" s="88" t="str">
        <x:f>IF(C1056="","",F1056+G1056+H1056)</x:f>
      </x:c>
      <x:c r="K1056" s="88" t="str">
        <x:f>IF(C1056="","",MAX(0,SUMIFS(SONDERZAHLUNGEN!$E$9:$E$128,SONDERZAHLUNGEN!$B$9:$B$128,C1056,SONDERZAHLUNGEN!$C$9:$C$128,A1056,SONDERZAHLUNGEN!$H$9:$H$128,"OK",SONDERZAHLUNGEN!$F$9:$F$128,"Ja")-G1056))</x:f>
      </x:c>
    </x:row>
    <x:row r="1057" ht="19" customHeight="1">
      <x:c r="A1057" s="90" t="n">
        <x:f>MONATSBUDGET!$A$59</x:f>
        <x:v>47788</x:v>
      </x:c>
      <x:c r="B1057" t="n">
        <x:f>18</x:f>
        <x:v>18</x:v>
      </x:c>
      <x:c r="C1057" t="str">
        <x:f>IF($N$26="","",$N$26)</x:f>
      </x:c>
      <x:c r="D1057" s="88" t="str">
        <x:f>IF(C1057="","",I1037)</x:f>
      </x:c>
      <x:c r="E1057" s="88" t="str">
        <x:f>IF(C1057="","",ROUND(D1057*$P$26/12,2))</x:f>
      </x:c>
      <x:c r="F1057" s="88" t="str">
        <x:f>IF(C1057="","",MIN(D1057+E1057,$Q$26))</x:f>
      </x:c>
      <x:c r="G1057" s="88" t="str">
        <x:f>IF(C1057="","",MIN(MAX(0,D1057+E1057-F1057),SUMIFS(SONDERZAHLUNGEN!$E$9:$E$128,SONDERZAHLUNGEN!$B$9:$B$128,C1057,SONDERZAHLUNGEN!$C$9:$C$128,A1057,SONDERZAHLUNGEN!$H$9:$H$128,"OK",SONDERZAHLUNGEN!$F$9:$F$128,"Ja")))</x:f>
      </x:c>
      <x:c r="H1057" s="88" t="str">
        <x:f>IF(C1057="","",MIN(MAX(0,D1057+E1057-F1057-G1057),MAX(0,IF(MONATSBUDGET!$C$59="",0,MONATSBUDGET!$C$59)-SUM(F1040:F1059)-SUM(H1040:H1056))))</x:f>
      </x:c>
      <x:c r="I1057" s="88" t="str">
        <x:f>IF(C1057="","",MAX(0,ROUND(D1057+E1057-F1057-G1057-H1057,2)))</x:f>
      </x:c>
      <x:c r="J1057" s="88" t="str">
        <x:f>IF(C1057="","",F1057+G1057+H1057)</x:f>
      </x:c>
      <x:c r="K1057" s="88" t="str">
        <x:f>IF(C1057="","",MAX(0,SUMIFS(SONDERZAHLUNGEN!$E$9:$E$128,SONDERZAHLUNGEN!$B$9:$B$128,C1057,SONDERZAHLUNGEN!$C$9:$C$128,A1057,SONDERZAHLUNGEN!$H$9:$H$128,"OK",SONDERZAHLUNGEN!$F$9:$F$128,"Ja")-G1057))</x:f>
      </x:c>
    </x:row>
    <x:row r="1058" ht="19" customHeight="1">
      <x:c r="A1058" s="90" t="n">
        <x:f>MONATSBUDGET!$A$59</x:f>
        <x:v>47788</x:v>
      </x:c>
      <x:c r="B1058" t="n">
        <x:f>19</x:f>
        <x:v>19</x:v>
      </x:c>
      <x:c r="C1058" t="str">
        <x:f>IF($N$27="","",$N$27)</x:f>
      </x:c>
      <x:c r="D1058" s="88" t="str">
        <x:f>IF(C1058="","",I1038)</x:f>
      </x:c>
      <x:c r="E1058" s="88" t="str">
        <x:f>IF(C1058="","",ROUND(D1058*$P$27/12,2))</x:f>
      </x:c>
      <x:c r="F1058" s="88" t="str">
        <x:f>IF(C1058="","",MIN(D1058+E1058,$Q$27))</x:f>
      </x:c>
      <x:c r="G1058" s="88" t="str">
        <x:f>IF(C1058="","",MIN(MAX(0,D1058+E1058-F1058),SUMIFS(SONDERZAHLUNGEN!$E$9:$E$128,SONDERZAHLUNGEN!$B$9:$B$128,C1058,SONDERZAHLUNGEN!$C$9:$C$128,A1058,SONDERZAHLUNGEN!$H$9:$H$128,"OK",SONDERZAHLUNGEN!$F$9:$F$128,"Ja")))</x:f>
      </x:c>
      <x:c r="H1058" s="88" t="str">
        <x:f>IF(C1058="","",MIN(MAX(0,D1058+E1058-F1058-G1058),MAX(0,IF(MONATSBUDGET!$C$59="",0,MONATSBUDGET!$C$59)-SUM(F1040:F1059)-SUM(H1040:H1057))))</x:f>
      </x:c>
      <x:c r="I1058" s="88" t="str">
        <x:f>IF(C1058="","",MAX(0,ROUND(D1058+E1058-F1058-G1058-H1058,2)))</x:f>
      </x:c>
      <x:c r="J1058" s="88" t="str">
        <x:f>IF(C1058="","",F1058+G1058+H1058)</x:f>
      </x:c>
      <x:c r="K1058" s="88" t="str">
        <x:f>IF(C1058="","",MAX(0,SUMIFS(SONDERZAHLUNGEN!$E$9:$E$128,SONDERZAHLUNGEN!$B$9:$B$128,C1058,SONDERZAHLUNGEN!$C$9:$C$128,A1058,SONDERZAHLUNGEN!$H$9:$H$128,"OK",SONDERZAHLUNGEN!$F$9:$F$128,"Ja")-G1058))</x:f>
      </x:c>
    </x:row>
    <x:row r="1059" ht="19" customHeight="1">
      <x:c r="A1059" s="90" t="n">
        <x:f>MONATSBUDGET!$A$59</x:f>
        <x:v>47788</x:v>
      </x:c>
      <x:c r="B1059" t="n">
        <x:f>20</x:f>
        <x:v>20</x:v>
      </x:c>
      <x:c r="C1059" t="str">
        <x:f>IF($N$28="","",$N$28)</x:f>
      </x:c>
      <x:c r="D1059" s="88" t="str">
        <x:f>IF(C1059="","",I1039)</x:f>
      </x:c>
      <x:c r="E1059" s="88" t="str">
        <x:f>IF(C1059="","",ROUND(D1059*$P$28/12,2))</x:f>
      </x:c>
      <x:c r="F1059" s="88" t="str">
        <x:f>IF(C1059="","",MIN(D1059+E1059,$Q$28))</x:f>
      </x:c>
      <x:c r="G1059" s="88" t="str">
        <x:f>IF(C1059="","",MIN(MAX(0,D1059+E1059-F1059),SUMIFS(SONDERZAHLUNGEN!$E$9:$E$128,SONDERZAHLUNGEN!$B$9:$B$128,C1059,SONDERZAHLUNGEN!$C$9:$C$128,A1059,SONDERZAHLUNGEN!$H$9:$H$128,"OK",SONDERZAHLUNGEN!$F$9:$F$128,"Ja")))</x:f>
      </x:c>
      <x:c r="H1059" s="88" t="str">
        <x:f>IF(C1059="","",MIN(MAX(0,D1059+E1059-F1059-G1059),MAX(0,IF(MONATSBUDGET!$C$59="",0,MONATSBUDGET!$C$59)-SUM(F1040:F1059)-SUM(H1040:H1058))))</x:f>
      </x:c>
      <x:c r="I1059" s="88" t="str">
        <x:f>IF(C1059="","",MAX(0,ROUND(D1059+E1059-F1059-G1059-H1059,2)))</x:f>
      </x:c>
      <x:c r="J1059" s="88" t="str">
        <x:f>IF(C1059="","",F1059+G1059+H1059)</x:f>
      </x:c>
      <x:c r="K1059" s="88" t="str">
        <x:f>IF(C1059="","",MAX(0,SUMIFS(SONDERZAHLUNGEN!$E$9:$E$128,SONDERZAHLUNGEN!$B$9:$B$128,C1059,SONDERZAHLUNGEN!$C$9:$C$128,A1059,SONDERZAHLUNGEN!$H$9:$H$128,"OK",SONDERZAHLUNGEN!$F$9:$F$128,"Ja")-G1059))</x:f>
      </x:c>
    </x:row>
    <x:row r="1060" ht="19" customHeight="1">
      <x:c r="A1060" s="90" t="n">
        <x:f>MONATSBUDGET!$A$60</x:f>
        <x:v>47818</x:v>
      </x:c>
      <x:c r="B1060" t="n">
        <x:f>1</x:f>
        <x:v>1</x:v>
      </x:c>
      <x:c r="C1060" t="str">
        <x:f>IF($N$9="","",$N$9)</x:f>
      </x:c>
      <x:c r="D1060" s="88" t="str">
        <x:f>IF(C1060="","",I1040)</x:f>
      </x:c>
      <x:c r="E1060" s="88" t="str">
        <x:f>IF(C1060="","",ROUND(D1060*$P$9/12,2))</x:f>
      </x:c>
      <x:c r="F1060" s="88" t="str">
        <x:f>IF(C1060="","",MIN(D1060+E1060,$Q$9))</x:f>
      </x:c>
      <x:c r="G1060" s="88" t="str">
        <x:f>IF(C1060="","",MIN(MAX(0,D1060+E1060-F1060),SUMIFS(SONDERZAHLUNGEN!$E$9:$E$128,SONDERZAHLUNGEN!$B$9:$B$128,C1060,SONDERZAHLUNGEN!$C$9:$C$128,A1060,SONDERZAHLUNGEN!$H$9:$H$128,"OK",SONDERZAHLUNGEN!$F$9:$F$128,"Ja")))</x:f>
      </x:c>
      <x:c r="H1060" s="88" t="str">
        <x:f>IF(C1060="","",MIN(MAX(0,D1060+E1060-F1060-G1060),MAX(0,IF(MONATSBUDGET!$C$60="",0,MONATSBUDGET!$C$60)-SUM(F1060:F1079)-0)))</x:f>
      </x:c>
      <x:c r="I1060" s="88" t="str">
        <x:f>IF(C1060="","",MAX(0,ROUND(D1060+E1060-F1060-G1060-H1060,2)))</x:f>
      </x:c>
      <x:c r="J1060" s="88" t="str">
        <x:f>IF(C1060="","",F1060+G1060+H1060)</x:f>
      </x:c>
      <x:c r="K1060" s="88" t="str">
        <x:f>IF(C1060="","",MAX(0,SUMIFS(SONDERZAHLUNGEN!$E$9:$E$128,SONDERZAHLUNGEN!$B$9:$B$128,C1060,SONDERZAHLUNGEN!$C$9:$C$128,A1060,SONDERZAHLUNGEN!$H$9:$H$128,"OK",SONDERZAHLUNGEN!$F$9:$F$128,"Ja")-G1060))</x:f>
      </x:c>
    </x:row>
    <x:row r="1061" ht="19" customHeight="1">
      <x:c r="A1061" s="90" t="n">
        <x:f>MONATSBUDGET!$A$60</x:f>
        <x:v>47818</x:v>
      </x:c>
      <x:c r="B1061" t="n">
        <x:f>2</x:f>
        <x:v>2</x:v>
      </x:c>
      <x:c r="C1061" t="str">
        <x:f>IF($N$10="","",$N$10)</x:f>
      </x:c>
      <x:c r="D1061" s="88" t="str">
        <x:f>IF(C1061="","",I1041)</x:f>
      </x:c>
      <x:c r="E1061" s="88" t="str">
        <x:f>IF(C1061="","",ROUND(D1061*$P$10/12,2))</x:f>
      </x:c>
      <x:c r="F1061" s="88" t="str">
        <x:f>IF(C1061="","",MIN(D1061+E1061,$Q$10))</x:f>
      </x:c>
      <x:c r="G1061" s="88" t="str">
        <x:f>IF(C1061="","",MIN(MAX(0,D1061+E1061-F1061),SUMIFS(SONDERZAHLUNGEN!$E$9:$E$128,SONDERZAHLUNGEN!$B$9:$B$128,C1061,SONDERZAHLUNGEN!$C$9:$C$128,A1061,SONDERZAHLUNGEN!$H$9:$H$128,"OK",SONDERZAHLUNGEN!$F$9:$F$128,"Ja")))</x:f>
      </x:c>
      <x:c r="H1061" s="88" t="str">
        <x:f>IF(C1061="","",MIN(MAX(0,D1061+E1061-F1061-G1061),MAX(0,IF(MONATSBUDGET!$C$60="",0,MONATSBUDGET!$C$60)-SUM(F1060:F1079)-SUM(H1060:H1060))))</x:f>
      </x:c>
      <x:c r="I1061" s="88" t="str">
        <x:f>IF(C1061="","",MAX(0,ROUND(D1061+E1061-F1061-G1061-H1061,2)))</x:f>
      </x:c>
      <x:c r="J1061" s="88" t="str">
        <x:f>IF(C1061="","",F1061+G1061+H1061)</x:f>
      </x:c>
      <x:c r="K1061" s="88" t="str">
        <x:f>IF(C1061="","",MAX(0,SUMIFS(SONDERZAHLUNGEN!$E$9:$E$128,SONDERZAHLUNGEN!$B$9:$B$128,C1061,SONDERZAHLUNGEN!$C$9:$C$128,A1061,SONDERZAHLUNGEN!$H$9:$H$128,"OK",SONDERZAHLUNGEN!$F$9:$F$128,"Ja")-G1061))</x:f>
      </x:c>
    </x:row>
    <x:row r="1062" ht="19" customHeight="1">
      <x:c r="A1062" s="90" t="n">
        <x:f>MONATSBUDGET!$A$60</x:f>
        <x:v>47818</x:v>
      </x:c>
      <x:c r="B1062" t="n">
        <x:f>3</x:f>
        <x:v>3</x:v>
      </x:c>
      <x:c r="C1062" t="str">
        <x:f>IF($N$11="","",$N$11)</x:f>
      </x:c>
      <x:c r="D1062" s="88" t="str">
        <x:f>IF(C1062="","",I1042)</x:f>
      </x:c>
      <x:c r="E1062" s="88" t="str">
        <x:f>IF(C1062="","",ROUND(D1062*$P$11/12,2))</x:f>
      </x:c>
      <x:c r="F1062" s="88" t="str">
        <x:f>IF(C1062="","",MIN(D1062+E1062,$Q$11))</x:f>
      </x:c>
      <x:c r="G1062" s="88" t="str">
        <x:f>IF(C1062="","",MIN(MAX(0,D1062+E1062-F1062),SUMIFS(SONDERZAHLUNGEN!$E$9:$E$128,SONDERZAHLUNGEN!$B$9:$B$128,C1062,SONDERZAHLUNGEN!$C$9:$C$128,A1062,SONDERZAHLUNGEN!$H$9:$H$128,"OK",SONDERZAHLUNGEN!$F$9:$F$128,"Ja")))</x:f>
      </x:c>
      <x:c r="H1062" s="88" t="str">
        <x:f>IF(C1062="","",MIN(MAX(0,D1062+E1062-F1062-G1062),MAX(0,IF(MONATSBUDGET!$C$60="",0,MONATSBUDGET!$C$60)-SUM(F1060:F1079)-SUM(H1060:H1061))))</x:f>
      </x:c>
      <x:c r="I1062" s="88" t="str">
        <x:f>IF(C1062="","",MAX(0,ROUND(D1062+E1062-F1062-G1062-H1062,2)))</x:f>
      </x:c>
      <x:c r="J1062" s="88" t="str">
        <x:f>IF(C1062="","",F1062+G1062+H1062)</x:f>
      </x:c>
      <x:c r="K1062" s="88" t="str">
        <x:f>IF(C1062="","",MAX(0,SUMIFS(SONDERZAHLUNGEN!$E$9:$E$128,SONDERZAHLUNGEN!$B$9:$B$128,C1062,SONDERZAHLUNGEN!$C$9:$C$128,A1062,SONDERZAHLUNGEN!$H$9:$H$128,"OK",SONDERZAHLUNGEN!$F$9:$F$128,"Ja")-G1062))</x:f>
      </x:c>
    </x:row>
    <x:row r="1063" ht="19" customHeight="1">
      <x:c r="A1063" s="90" t="n">
        <x:f>MONATSBUDGET!$A$60</x:f>
        <x:v>47818</x:v>
      </x:c>
      <x:c r="B1063" t="n">
        <x:f>4</x:f>
        <x:v>4</x:v>
      </x:c>
      <x:c r="C1063" t="str">
        <x:f>IF($N$12="","",$N$12)</x:f>
      </x:c>
      <x:c r="D1063" s="88" t="str">
        <x:f>IF(C1063="","",I1043)</x:f>
      </x:c>
      <x:c r="E1063" s="88" t="str">
        <x:f>IF(C1063="","",ROUND(D1063*$P$12/12,2))</x:f>
      </x:c>
      <x:c r="F1063" s="88" t="str">
        <x:f>IF(C1063="","",MIN(D1063+E1063,$Q$12))</x:f>
      </x:c>
      <x:c r="G1063" s="88" t="str">
        <x:f>IF(C1063="","",MIN(MAX(0,D1063+E1063-F1063),SUMIFS(SONDERZAHLUNGEN!$E$9:$E$128,SONDERZAHLUNGEN!$B$9:$B$128,C1063,SONDERZAHLUNGEN!$C$9:$C$128,A1063,SONDERZAHLUNGEN!$H$9:$H$128,"OK",SONDERZAHLUNGEN!$F$9:$F$128,"Ja")))</x:f>
      </x:c>
      <x:c r="H1063" s="88" t="str">
        <x:f>IF(C1063="","",MIN(MAX(0,D1063+E1063-F1063-G1063),MAX(0,IF(MONATSBUDGET!$C$60="",0,MONATSBUDGET!$C$60)-SUM(F1060:F1079)-SUM(H1060:H1062))))</x:f>
      </x:c>
      <x:c r="I1063" s="88" t="str">
        <x:f>IF(C1063="","",MAX(0,ROUND(D1063+E1063-F1063-G1063-H1063,2)))</x:f>
      </x:c>
      <x:c r="J1063" s="88" t="str">
        <x:f>IF(C1063="","",F1063+G1063+H1063)</x:f>
      </x:c>
      <x:c r="K1063" s="88" t="str">
        <x:f>IF(C1063="","",MAX(0,SUMIFS(SONDERZAHLUNGEN!$E$9:$E$128,SONDERZAHLUNGEN!$B$9:$B$128,C1063,SONDERZAHLUNGEN!$C$9:$C$128,A1063,SONDERZAHLUNGEN!$H$9:$H$128,"OK",SONDERZAHLUNGEN!$F$9:$F$128,"Ja")-G1063))</x:f>
      </x:c>
    </x:row>
    <x:row r="1064" ht="19" customHeight="1">
      <x:c r="A1064" s="90" t="n">
        <x:f>MONATSBUDGET!$A$60</x:f>
        <x:v>47818</x:v>
      </x:c>
      <x:c r="B1064" t="n">
        <x:f>5</x:f>
        <x:v>5</x:v>
      </x:c>
      <x:c r="C1064" t="str">
        <x:f>IF($N$13="","",$N$13)</x:f>
      </x:c>
      <x:c r="D1064" s="88" t="str">
        <x:f>IF(C1064="","",I1044)</x:f>
      </x:c>
      <x:c r="E1064" s="88" t="str">
        <x:f>IF(C1064="","",ROUND(D1064*$P$13/12,2))</x:f>
      </x:c>
      <x:c r="F1064" s="88" t="str">
        <x:f>IF(C1064="","",MIN(D1064+E1064,$Q$13))</x:f>
      </x:c>
      <x:c r="G1064" s="88" t="str">
        <x:f>IF(C1064="","",MIN(MAX(0,D1064+E1064-F1064),SUMIFS(SONDERZAHLUNGEN!$E$9:$E$128,SONDERZAHLUNGEN!$B$9:$B$128,C1064,SONDERZAHLUNGEN!$C$9:$C$128,A1064,SONDERZAHLUNGEN!$H$9:$H$128,"OK",SONDERZAHLUNGEN!$F$9:$F$128,"Ja")))</x:f>
      </x:c>
      <x:c r="H1064" s="88" t="str">
        <x:f>IF(C1064="","",MIN(MAX(0,D1064+E1064-F1064-G1064),MAX(0,IF(MONATSBUDGET!$C$60="",0,MONATSBUDGET!$C$60)-SUM(F1060:F1079)-SUM(H1060:H1063))))</x:f>
      </x:c>
      <x:c r="I1064" s="88" t="str">
        <x:f>IF(C1064="","",MAX(0,ROUND(D1064+E1064-F1064-G1064-H1064,2)))</x:f>
      </x:c>
      <x:c r="J1064" s="88" t="str">
        <x:f>IF(C1064="","",F1064+G1064+H1064)</x:f>
      </x:c>
      <x:c r="K1064" s="88" t="str">
        <x:f>IF(C1064="","",MAX(0,SUMIFS(SONDERZAHLUNGEN!$E$9:$E$128,SONDERZAHLUNGEN!$B$9:$B$128,C1064,SONDERZAHLUNGEN!$C$9:$C$128,A1064,SONDERZAHLUNGEN!$H$9:$H$128,"OK",SONDERZAHLUNGEN!$F$9:$F$128,"Ja")-G1064))</x:f>
      </x:c>
    </x:row>
    <x:row r="1065" ht="19" customHeight="1">
      <x:c r="A1065" s="90" t="n">
        <x:f>MONATSBUDGET!$A$60</x:f>
        <x:v>47818</x:v>
      </x:c>
      <x:c r="B1065" t="n">
        <x:f>6</x:f>
        <x:v>6</x:v>
      </x:c>
      <x:c r="C1065" t="str">
        <x:f>IF($N$14="","",$N$14)</x:f>
      </x:c>
      <x:c r="D1065" s="88" t="str">
        <x:f>IF(C1065="","",I1045)</x:f>
      </x:c>
      <x:c r="E1065" s="88" t="str">
        <x:f>IF(C1065="","",ROUND(D1065*$P$14/12,2))</x:f>
      </x:c>
      <x:c r="F1065" s="88" t="str">
        <x:f>IF(C1065="","",MIN(D1065+E1065,$Q$14))</x:f>
      </x:c>
      <x:c r="G1065" s="88" t="str">
        <x:f>IF(C1065="","",MIN(MAX(0,D1065+E1065-F1065),SUMIFS(SONDERZAHLUNGEN!$E$9:$E$128,SONDERZAHLUNGEN!$B$9:$B$128,C1065,SONDERZAHLUNGEN!$C$9:$C$128,A1065,SONDERZAHLUNGEN!$H$9:$H$128,"OK",SONDERZAHLUNGEN!$F$9:$F$128,"Ja")))</x:f>
      </x:c>
      <x:c r="H1065" s="88" t="str">
        <x:f>IF(C1065="","",MIN(MAX(0,D1065+E1065-F1065-G1065),MAX(0,IF(MONATSBUDGET!$C$60="",0,MONATSBUDGET!$C$60)-SUM(F1060:F1079)-SUM(H1060:H1064))))</x:f>
      </x:c>
      <x:c r="I1065" s="88" t="str">
        <x:f>IF(C1065="","",MAX(0,ROUND(D1065+E1065-F1065-G1065-H1065,2)))</x:f>
      </x:c>
      <x:c r="J1065" s="88" t="str">
        <x:f>IF(C1065="","",F1065+G1065+H1065)</x:f>
      </x:c>
      <x:c r="K1065" s="88" t="str">
        <x:f>IF(C1065="","",MAX(0,SUMIFS(SONDERZAHLUNGEN!$E$9:$E$128,SONDERZAHLUNGEN!$B$9:$B$128,C1065,SONDERZAHLUNGEN!$C$9:$C$128,A1065,SONDERZAHLUNGEN!$H$9:$H$128,"OK",SONDERZAHLUNGEN!$F$9:$F$128,"Ja")-G1065))</x:f>
      </x:c>
    </x:row>
    <x:row r="1066" ht="19" customHeight="1">
      <x:c r="A1066" s="90" t="n">
        <x:f>MONATSBUDGET!$A$60</x:f>
        <x:v>47818</x:v>
      </x:c>
      <x:c r="B1066" t="n">
        <x:f>7</x:f>
        <x:v>7</x:v>
      </x:c>
      <x:c r="C1066" t="str">
        <x:f>IF($N$15="","",$N$15)</x:f>
      </x:c>
      <x:c r="D1066" s="88" t="str">
        <x:f>IF(C1066="","",I1046)</x:f>
      </x:c>
      <x:c r="E1066" s="88" t="str">
        <x:f>IF(C1066="","",ROUND(D1066*$P$15/12,2))</x:f>
      </x:c>
      <x:c r="F1066" s="88" t="str">
        <x:f>IF(C1066="","",MIN(D1066+E1066,$Q$15))</x:f>
      </x:c>
      <x:c r="G1066" s="88" t="str">
        <x:f>IF(C1066="","",MIN(MAX(0,D1066+E1066-F1066),SUMIFS(SONDERZAHLUNGEN!$E$9:$E$128,SONDERZAHLUNGEN!$B$9:$B$128,C1066,SONDERZAHLUNGEN!$C$9:$C$128,A1066,SONDERZAHLUNGEN!$H$9:$H$128,"OK",SONDERZAHLUNGEN!$F$9:$F$128,"Ja")))</x:f>
      </x:c>
      <x:c r="H1066" s="88" t="str">
        <x:f>IF(C1066="","",MIN(MAX(0,D1066+E1066-F1066-G1066),MAX(0,IF(MONATSBUDGET!$C$60="",0,MONATSBUDGET!$C$60)-SUM(F1060:F1079)-SUM(H1060:H1065))))</x:f>
      </x:c>
      <x:c r="I1066" s="88" t="str">
        <x:f>IF(C1066="","",MAX(0,ROUND(D1066+E1066-F1066-G1066-H1066,2)))</x:f>
      </x:c>
      <x:c r="J1066" s="88" t="str">
        <x:f>IF(C1066="","",F1066+G1066+H1066)</x:f>
      </x:c>
      <x:c r="K1066" s="88" t="str">
        <x:f>IF(C1066="","",MAX(0,SUMIFS(SONDERZAHLUNGEN!$E$9:$E$128,SONDERZAHLUNGEN!$B$9:$B$128,C1066,SONDERZAHLUNGEN!$C$9:$C$128,A1066,SONDERZAHLUNGEN!$H$9:$H$128,"OK",SONDERZAHLUNGEN!$F$9:$F$128,"Ja")-G1066))</x:f>
      </x:c>
    </x:row>
    <x:row r="1067" ht="19" customHeight="1">
      <x:c r="A1067" s="90" t="n">
        <x:f>MONATSBUDGET!$A$60</x:f>
        <x:v>47818</x:v>
      </x:c>
      <x:c r="B1067" t="n">
        <x:f>8</x:f>
        <x:v>8</x:v>
      </x:c>
      <x:c r="C1067" t="str">
        <x:f>IF($N$16="","",$N$16)</x:f>
      </x:c>
      <x:c r="D1067" s="88" t="str">
        <x:f>IF(C1067="","",I1047)</x:f>
      </x:c>
      <x:c r="E1067" s="88" t="str">
        <x:f>IF(C1067="","",ROUND(D1067*$P$16/12,2))</x:f>
      </x:c>
      <x:c r="F1067" s="88" t="str">
        <x:f>IF(C1067="","",MIN(D1067+E1067,$Q$16))</x:f>
      </x:c>
      <x:c r="G1067" s="88" t="str">
        <x:f>IF(C1067="","",MIN(MAX(0,D1067+E1067-F1067),SUMIFS(SONDERZAHLUNGEN!$E$9:$E$128,SONDERZAHLUNGEN!$B$9:$B$128,C1067,SONDERZAHLUNGEN!$C$9:$C$128,A1067,SONDERZAHLUNGEN!$H$9:$H$128,"OK",SONDERZAHLUNGEN!$F$9:$F$128,"Ja")))</x:f>
      </x:c>
      <x:c r="H1067" s="88" t="str">
        <x:f>IF(C1067="","",MIN(MAX(0,D1067+E1067-F1067-G1067),MAX(0,IF(MONATSBUDGET!$C$60="",0,MONATSBUDGET!$C$60)-SUM(F1060:F1079)-SUM(H1060:H1066))))</x:f>
      </x:c>
      <x:c r="I1067" s="88" t="str">
        <x:f>IF(C1067="","",MAX(0,ROUND(D1067+E1067-F1067-G1067-H1067,2)))</x:f>
      </x:c>
      <x:c r="J1067" s="88" t="str">
        <x:f>IF(C1067="","",F1067+G1067+H1067)</x:f>
      </x:c>
      <x:c r="K1067" s="88" t="str">
        <x:f>IF(C1067="","",MAX(0,SUMIFS(SONDERZAHLUNGEN!$E$9:$E$128,SONDERZAHLUNGEN!$B$9:$B$128,C1067,SONDERZAHLUNGEN!$C$9:$C$128,A1067,SONDERZAHLUNGEN!$H$9:$H$128,"OK",SONDERZAHLUNGEN!$F$9:$F$128,"Ja")-G1067))</x:f>
      </x:c>
    </x:row>
    <x:row r="1068" ht="19" customHeight="1">
      <x:c r="A1068" s="90" t="n">
        <x:f>MONATSBUDGET!$A$60</x:f>
        <x:v>47818</x:v>
      </x:c>
      <x:c r="B1068" t="n">
        <x:f>9</x:f>
        <x:v>9</x:v>
      </x:c>
      <x:c r="C1068" t="str">
        <x:f>IF($N$17="","",$N$17)</x:f>
      </x:c>
      <x:c r="D1068" s="88" t="str">
        <x:f>IF(C1068="","",I1048)</x:f>
      </x:c>
      <x:c r="E1068" s="88" t="str">
        <x:f>IF(C1068="","",ROUND(D1068*$P$17/12,2))</x:f>
      </x:c>
      <x:c r="F1068" s="88" t="str">
        <x:f>IF(C1068="","",MIN(D1068+E1068,$Q$17))</x:f>
      </x:c>
      <x:c r="G1068" s="88" t="str">
        <x:f>IF(C1068="","",MIN(MAX(0,D1068+E1068-F1068),SUMIFS(SONDERZAHLUNGEN!$E$9:$E$128,SONDERZAHLUNGEN!$B$9:$B$128,C1068,SONDERZAHLUNGEN!$C$9:$C$128,A1068,SONDERZAHLUNGEN!$H$9:$H$128,"OK",SONDERZAHLUNGEN!$F$9:$F$128,"Ja")))</x:f>
      </x:c>
      <x:c r="H1068" s="88" t="str">
        <x:f>IF(C1068="","",MIN(MAX(0,D1068+E1068-F1068-G1068),MAX(0,IF(MONATSBUDGET!$C$60="",0,MONATSBUDGET!$C$60)-SUM(F1060:F1079)-SUM(H1060:H1067))))</x:f>
      </x:c>
      <x:c r="I1068" s="88" t="str">
        <x:f>IF(C1068="","",MAX(0,ROUND(D1068+E1068-F1068-G1068-H1068,2)))</x:f>
      </x:c>
      <x:c r="J1068" s="88" t="str">
        <x:f>IF(C1068="","",F1068+G1068+H1068)</x:f>
      </x:c>
      <x:c r="K1068" s="88" t="str">
        <x:f>IF(C1068="","",MAX(0,SUMIFS(SONDERZAHLUNGEN!$E$9:$E$128,SONDERZAHLUNGEN!$B$9:$B$128,C1068,SONDERZAHLUNGEN!$C$9:$C$128,A1068,SONDERZAHLUNGEN!$H$9:$H$128,"OK",SONDERZAHLUNGEN!$F$9:$F$128,"Ja")-G1068))</x:f>
      </x:c>
    </x:row>
    <x:row r="1069" ht="19" customHeight="1">
      <x:c r="A1069" s="90" t="n">
        <x:f>MONATSBUDGET!$A$60</x:f>
        <x:v>47818</x:v>
      </x:c>
      <x:c r="B1069" t="n">
        <x:f>10</x:f>
        <x:v>10</x:v>
      </x:c>
      <x:c r="C1069" t="str">
        <x:f>IF($N$18="","",$N$18)</x:f>
      </x:c>
      <x:c r="D1069" s="88" t="str">
        <x:f>IF(C1069="","",I1049)</x:f>
      </x:c>
      <x:c r="E1069" s="88" t="str">
        <x:f>IF(C1069="","",ROUND(D1069*$P$18/12,2))</x:f>
      </x:c>
      <x:c r="F1069" s="88" t="str">
        <x:f>IF(C1069="","",MIN(D1069+E1069,$Q$18))</x:f>
      </x:c>
      <x:c r="G1069" s="88" t="str">
        <x:f>IF(C1069="","",MIN(MAX(0,D1069+E1069-F1069),SUMIFS(SONDERZAHLUNGEN!$E$9:$E$128,SONDERZAHLUNGEN!$B$9:$B$128,C1069,SONDERZAHLUNGEN!$C$9:$C$128,A1069,SONDERZAHLUNGEN!$H$9:$H$128,"OK",SONDERZAHLUNGEN!$F$9:$F$128,"Ja")))</x:f>
      </x:c>
      <x:c r="H1069" s="88" t="str">
        <x:f>IF(C1069="","",MIN(MAX(0,D1069+E1069-F1069-G1069),MAX(0,IF(MONATSBUDGET!$C$60="",0,MONATSBUDGET!$C$60)-SUM(F1060:F1079)-SUM(H1060:H1068))))</x:f>
      </x:c>
      <x:c r="I1069" s="88" t="str">
        <x:f>IF(C1069="","",MAX(0,ROUND(D1069+E1069-F1069-G1069-H1069,2)))</x:f>
      </x:c>
      <x:c r="J1069" s="88" t="str">
        <x:f>IF(C1069="","",F1069+G1069+H1069)</x:f>
      </x:c>
      <x:c r="K1069" s="88" t="str">
        <x:f>IF(C1069="","",MAX(0,SUMIFS(SONDERZAHLUNGEN!$E$9:$E$128,SONDERZAHLUNGEN!$B$9:$B$128,C1069,SONDERZAHLUNGEN!$C$9:$C$128,A1069,SONDERZAHLUNGEN!$H$9:$H$128,"OK",SONDERZAHLUNGEN!$F$9:$F$128,"Ja")-G1069))</x:f>
      </x:c>
    </x:row>
    <x:row r="1070" ht="19" customHeight="1">
      <x:c r="A1070" s="90" t="n">
        <x:f>MONATSBUDGET!$A$60</x:f>
        <x:v>47818</x:v>
      </x:c>
      <x:c r="B1070" t="n">
        <x:f>11</x:f>
        <x:v>11</x:v>
      </x:c>
      <x:c r="C1070" t="str">
        <x:f>IF($N$19="","",$N$19)</x:f>
      </x:c>
      <x:c r="D1070" s="88" t="str">
        <x:f>IF(C1070="","",I1050)</x:f>
      </x:c>
      <x:c r="E1070" s="88" t="str">
        <x:f>IF(C1070="","",ROUND(D1070*$P$19/12,2))</x:f>
      </x:c>
      <x:c r="F1070" s="88" t="str">
        <x:f>IF(C1070="","",MIN(D1070+E1070,$Q$19))</x:f>
      </x:c>
      <x:c r="G1070" s="88" t="str">
        <x:f>IF(C1070="","",MIN(MAX(0,D1070+E1070-F1070),SUMIFS(SONDERZAHLUNGEN!$E$9:$E$128,SONDERZAHLUNGEN!$B$9:$B$128,C1070,SONDERZAHLUNGEN!$C$9:$C$128,A1070,SONDERZAHLUNGEN!$H$9:$H$128,"OK",SONDERZAHLUNGEN!$F$9:$F$128,"Ja")))</x:f>
      </x:c>
      <x:c r="H1070" s="88" t="str">
        <x:f>IF(C1070="","",MIN(MAX(0,D1070+E1070-F1070-G1070),MAX(0,IF(MONATSBUDGET!$C$60="",0,MONATSBUDGET!$C$60)-SUM(F1060:F1079)-SUM(H1060:H1069))))</x:f>
      </x:c>
      <x:c r="I1070" s="88" t="str">
        <x:f>IF(C1070="","",MAX(0,ROUND(D1070+E1070-F1070-G1070-H1070,2)))</x:f>
      </x:c>
      <x:c r="J1070" s="88" t="str">
        <x:f>IF(C1070="","",F1070+G1070+H1070)</x:f>
      </x:c>
      <x:c r="K1070" s="88" t="str">
        <x:f>IF(C1070="","",MAX(0,SUMIFS(SONDERZAHLUNGEN!$E$9:$E$128,SONDERZAHLUNGEN!$B$9:$B$128,C1070,SONDERZAHLUNGEN!$C$9:$C$128,A1070,SONDERZAHLUNGEN!$H$9:$H$128,"OK",SONDERZAHLUNGEN!$F$9:$F$128,"Ja")-G1070))</x:f>
      </x:c>
    </x:row>
    <x:row r="1071" ht="19" customHeight="1">
      <x:c r="A1071" s="90" t="n">
        <x:f>MONATSBUDGET!$A$60</x:f>
        <x:v>47818</x:v>
      </x:c>
      <x:c r="B1071" t="n">
        <x:f>12</x:f>
        <x:v>12</x:v>
      </x:c>
      <x:c r="C1071" t="str">
        <x:f>IF($N$20="","",$N$20)</x:f>
      </x:c>
      <x:c r="D1071" s="88" t="str">
        <x:f>IF(C1071="","",I1051)</x:f>
      </x:c>
      <x:c r="E1071" s="88" t="str">
        <x:f>IF(C1071="","",ROUND(D1071*$P$20/12,2))</x:f>
      </x:c>
      <x:c r="F1071" s="88" t="str">
        <x:f>IF(C1071="","",MIN(D1071+E1071,$Q$20))</x:f>
      </x:c>
      <x:c r="G1071" s="88" t="str">
        <x:f>IF(C1071="","",MIN(MAX(0,D1071+E1071-F1071),SUMIFS(SONDERZAHLUNGEN!$E$9:$E$128,SONDERZAHLUNGEN!$B$9:$B$128,C1071,SONDERZAHLUNGEN!$C$9:$C$128,A1071,SONDERZAHLUNGEN!$H$9:$H$128,"OK",SONDERZAHLUNGEN!$F$9:$F$128,"Ja")))</x:f>
      </x:c>
      <x:c r="H1071" s="88" t="str">
        <x:f>IF(C1071="","",MIN(MAX(0,D1071+E1071-F1071-G1071),MAX(0,IF(MONATSBUDGET!$C$60="",0,MONATSBUDGET!$C$60)-SUM(F1060:F1079)-SUM(H1060:H1070))))</x:f>
      </x:c>
      <x:c r="I1071" s="88" t="str">
        <x:f>IF(C1071="","",MAX(0,ROUND(D1071+E1071-F1071-G1071-H1071,2)))</x:f>
      </x:c>
      <x:c r="J1071" s="88" t="str">
        <x:f>IF(C1071="","",F1071+G1071+H1071)</x:f>
      </x:c>
      <x:c r="K1071" s="88" t="str">
        <x:f>IF(C1071="","",MAX(0,SUMIFS(SONDERZAHLUNGEN!$E$9:$E$128,SONDERZAHLUNGEN!$B$9:$B$128,C1071,SONDERZAHLUNGEN!$C$9:$C$128,A1071,SONDERZAHLUNGEN!$H$9:$H$128,"OK",SONDERZAHLUNGEN!$F$9:$F$128,"Ja")-G1071))</x:f>
      </x:c>
    </x:row>
    <x:row r="1072" ht="19" customHeight="1">
      <x:c r="A1072" s="90" t="n">
        <x:f>MONATSBUDGET!$A$60</x:f>
        <x:v>47818</x:v>
      </x:c>
      <x:c r="B1072" t="n">
        <x:f>13</x:f>
        <x:v>13</x:v>
      </x:c>
      <x:c r="C1072" t="str">
        <x:f>IF($N$21="","",$N$21)</x:f>
      </x:c>
      <x:c r="D1072" s="88" t="str">
        <x:f>IF(C1072="","",I1052)</x:f>
      </x:c>
      <x:c r="E1072" s="88" t="str">
        <x:f>IF(C1072="","",ROUND(D1072*$P$21/12,2))</x:f>
      </x:c>
      <x:c r="F1072" s="88" t="str">
        <x:f>IF(C1072="","",MIN(D1072+E1072,$Q$21))</x:f>
      </x:c>
      <x:c r="G1072" s="88" t="str">
        <x:f>IF(C1072="","",MIN(MAX(0,D1072+E1072-F1072),SUMIFS(SONDERZAHLUNGEN!$E$9:$E$128,SONDERZAHLUNGEN!$B$9:$B$128,C1072,SONDERZAHLUNGEN!$C$9:$C$128,A1072,SONDERZAHLUNGEN!$H$9:$H$128,"OK",SONDERZAHLUNGEN!$F$9:$F$128,"Ja")))</x:f>
      </x:c>
      <x:c r="H1072" s="88" t="str">
        <x:f>IF(C1072="","",MIN(MAX(0,D1072+E1072-F1072-G1072),MAX(0,IF(MONATSBUDGET!$C$60="",0,MONATSBUDGET!$C$60)-SUM(F1060:F1079)-SUM(H1060:H1071))))</x:f>
      </x:c>
      <x:c r="I1072" s="88" t="str">
        <x:f>IF(C1072="","",MAX(0,ROUND(D1072+E1072-F1072-G1072-H1072,2)))</x:f>
      </x:c>
      <x:c r="J1072" s="88" t="str">
        <x:f>IF(C1072="","",F1072+G1072+H1072)</x:f>
      </x:c>
      <x:c r="K1072" s="88" t="str">
        <x:f>IF(C1072="","",MAX(0,SUMIFS(SONDERZAHLUNGEN!$E$9:$E$128,SONDERZAHLUNGEN!$B$9:$B$128,C1072,SONDERZAHLUNGEN!$C$9:$C$128,A1072,SONDERZAHLUNGEN!$H$9:$H$128,"OK",SONDERZAHLUNGEN!$F$9:$F$128,"Ja")-G1072))</x:f>
      </x:c>
    </x:row>
    <x:row r="1073" ht="19" customHeight="1">
      <x:c r="A1073" s="90" t="n">
        <x:f>MONATSBUDGET!$A$60</x:f>
        <x:v>47818</x:v>
      </x:c>
      <x:c r="B1073" t="n">
        <x:f>14</x:f>
        <x:v>14</x:v>
      </x:c>
      <x:c r="C1073" t="str">
        <x:f>IF($N$22="","",$N$22)</x:f>
      </x:c>
      <x:c r="D1073" s="88" t="str">
        <x:f>IF(C1073="","",I1053)</x:f>
      </x:c>
      <x:c r="E1073" s="88" t="str">
        <x:f>IF(C1073="","",ROUND(D1073*$P$22/12,2))</x:f>
      </x:c>
      <x:c r="F1073" s="88" t="str">
        <x:f>IF(C1073="","",MIN(D1073+E1073,$Q$22))</x:f>
      </x:c>
      <x:c r="G1073" s="88" t="str">
        <x:f>IF(C1073="","",MIN(MAX(0,D1073+E1073-F1073),SUMIFS(SONDERZAHLUNGEN!$E$9:$E$128,SONDERZAHLUNGEN!$B$9:$B$128,C1073,SONDERZAHLUNGEN!$C$9:$C$128,A1073,SONDERZAHLUNGEN!$H$9:$H$128,"OK",SONDERZAHLUNGEN!$F$9:$F$128,"Ja")))</x:f>
      </x:c>
      <x:c r="H1073" s="88" t="str">
        <x:f>IF(C1073="","",MIN(MAX(0,D1073+E1073-F1073-G1073),MAX(0,IF(MONATSBUDGET!$C$60="",0,MONATSBUDGET!$C$60)-SUM(F1060:F1079)-SUM(H1060:H1072))))</x:f>
      </x:c>
      <x:c r="I1073" s="88" t="str">
        <x:f>IF(C1073="","",MAX(0,ROUND(D1073+E1073-F1073-G1073-H1073,2)))</x:f>
      </x:c>
      <x:c r="J1073" s="88" t="str">
        <x:f>IF(C1073="","",F1073+G1073+H1073)</x:f>
      </x:c>
      <x:c r="K1073" s="88" t="str">
        <x:f>IF(C1073="","",MAX(0,SUMIFS(SONDERZAHLUNGEN!$E$9:$E$128,SONDERZAHLUNGEN!$B$9:$B$128,C1073,SONDERZAHLUNGEN!$C$9:$C$128,A1073,SONDERZAHLUNGEN!$H$9:$H$128,"OK",SONDERZAHLUNGEN!$F$9:$F$128,"Ja")-G1073))</x:f>
      </x:c>
    </x:row>
    <x:row r="1074" ht="19" customHeight="1">
      <x:c r="A1074" s="90" t="n">
        <x:f>MONATSBUDGET!$A$60</x:f>
        <x:v>47818</x:v>
      </x:c>
      <x:c r="B1074" t="n">
        <x:f>15</x:f>
        <x:v>15</x:v>
      </x:c>
      <x:c r="C1074" t="str">
        <x:f>IF($N$23="","",$N$23)</x:f>
      </x:c>
      <x:c r="D1074" s="88" t="str">
        <x:f>IF(C1074="","",I1054)</x:f>
      </x:c>
      <x:c r="E1074" s="88" t="str">
        <x:f>IF(C1074="","",ROUND(D1074*$P$23/12,2))</x:f>
      </x:c>
      <x:c r="F1074" s="88" t="str">
        <x:f>IF(C1074="","",MIN(D1074+E1074,$Q$23))</x:f>
      </x:c>
      <x:c r="G1074" s="88" t="str">
        <x:f>IF(C1074="","",MIN(MAX(0,D1074+E1074-F1074),SUMIFS(SONDERZAHLUNGEN!$E$9:$E$128,SONDERZAHLUNGEN!$B$9:$B$128,C1074,SONDERZAHLUNGEN!$C$9:$C$128,A1074,SONDERZAHLUNGEN!$H$9:$H$128,"OK",SONDERZAHLUNGEN!$F$9:$F$128,"Ja")))</x:f>
      </x:c>
      <x:c r="H1074" s="88" t="str">
        <x:f>IF(C1074="","",MIN(MAX(0,D1074+E1074-F1074-G1074),MAX(0,IF(MONATSBUDGET!$C$60="",0,MONATSBUDGET!$C$60)-SUM(F1060:F1079)-SUM(H1060:H1073))))</x:f>
      </x:c>
      <x:c r="I1074" s="88" t="str">
        <x:f>IF(C1074="","",MAX(0,ROUND(D1074+E1074-F1074-G1074-H1074,2)))</x:f>
      </x:c>
      <x:c r="J1074" s="88" t="str">
        <x:f>IF(C1074="","",F1074+G1074+H1074)</x:f>
      </x:c>
      <x:c r="K1074" s="88" t="str">
        <x:f>IF(C1074="","",MAX(0,SUMIFS(SONDERZAHLUNGEN!$E$9:$E$128,SONDERZAHLUNGEN!$B$9:$B$128,C1074,SONDERZAHLUNGEN!$C$9:$C$128,A1074,SONDERZAHLUNGEN!$H$9:$H$128,"OK",SONDERZAHLUNGEN!$F$9:$F$128,"Ja")-G1074))</x:f>
      </x:c>
    </x:row>
    <x:row r="1075" ht="19" customHeight="1">
      <x:c r="A1075" s="90" t="n">
        <x:f>MONATSBUDGET!$A$60</x:f>
        <x:v>47818</x:v>
      </x:c>
      <x:c r="B1075" t="n">
        <x:f>16</x:f>
        <x:v>16</x:v>
      </x:c>
      <x:c r="C1075" t="str">
        <x:f>IF($N$24="","",$N$24)</x:f>
      </x:c>
      <x:c r="D1075" s="88" t="str">
        <x:f>IF(C1075="","",I1055)</x:f>
      </x:c>
      <x:c r="E1075" s="88" t="str">
        <x:f>IF(C1075="","",ROUND(D1075*$P$24/12,2))</x:f>
      </x:c>
      <x:c r="F1075" s="88" t="str">
        <x:f>IF(C1075="","",MIN(D1075+E1075,$Q$24))</x:f>
      </x:c>
      <x:c r="G1075" s="88" t="str">
        <x:f>IF(C1075="","",MIN(MAX(0,D1075+E1075-F1075),SUMIFS(SONDERZAHLUNGEN!$E$9:$E$128,SONDERZAHLUNGEN!$B$9:$B$128,C1075,SONDERZAHLUNGEN!$C$9:$C$128,A1075,SONDERZAHLUNGEN!$H$9:$H$128,"OK",SONDERZAHLUNGEN!$F$9:$F$128,"Ja")))</x:f>
      </x:c>
      <x:c r="H1075" s="88" t="str">
        <x:f>IF(C1075="","",MIN(MAX(0,D1075+E1075-F1075-G1075),MAX(0,IF(MONATSBUDGET!$C$60="",0,MONATSBUDGET!$C$60)-SUM(F1060:F1079)-SUM(H1060:H1074))))</x:f>
      </x:c>
      <x:c r="I1075" s="88" t="str">
        <x:f>IF(C1075="","",MAX(0,ROUND(D1075+E1075-F1075-G1075-H1075,2)))</x:f>
      </x:c>
      <x:c r="J1075" s="88" t="str">
        <x:f>IF(C1075="","",F1075+G1075+H1075)</x:f>
      </x:c>
      <x:c r="K1075" s="88" t="str">
        <x:f>IF(C1075="","",MAX(0,SUMIFS(SONDERZAHLUNGEN!$E$9:$E$128,SONDERZAHLUNGEN!$B$9:$B$128,C1075,SONDERZAHLUNGEN!$C$9:$C$128,A1075,SONDERZAHLUNGEN!$H$9:$H$128,"OK",SONDERZAHLUNGEN!$F$9:$F$128,"Ja")-G1075))</x:f>
      </x:c>
    </x:row>
    <x:row r="1076" ht="19" customHeight="1">
      <x:c r="A1076" s="90" t="n">
        <x:f>MONATSBUDGET!$A$60</x:f>
        <x:v>47818</x:v>
      </x:c>
      <x:c r="B1076" t="n">
        <x:f>17</x:f>
        <x:v>17</x:v>
      </x:c>
      <x:c r="C1076" t="str">
        <x:f>IF($N$25="","",$N$25)</x:f>
      </x:c>
      <x:c r="D1076" s="88" t="str">
        <x:f>IF(C1076="","",I1056)</x:f>
      </x:c>
      <x:c r="E1076" s="88" t="str">
        <x:f>IF(C1076="","",ROUND(D1076*$P$25/12,2))</x:f>
      </x:c>
      <x:c r="F1076" s="88" t="str">
        <x:f>IF(C1076="","",MIN(D1076+E1076,$Q$25))</x:f>
      </x:c>
      <x:c r="G1076" s="88" t="str">
        <x:f>IF(C1076="","",MIN(MAX(0,D1076+E1076-F1076),SUMIFS(SONDERZAHLUNGEN!$E$9:$E$128,SONDERZAHLUNGEN!$B$9:$B$128,C1076,SONDERZAHLUNGEN!$C$9:$C$128,A1076,SONDERZAHLUNGEN!$H$9:$H$128,"OK",SONDERZAHLUNGEN!$F$9:$F$128,"Ja")))</x:f>
      </x:c>
      <x:c r="H1076" s="88" t="str">
        <x:f>IF(C1076="","",MIN(MAX(0,D1076+E1076-F1076-G1076),MAX(0,IF(MONATSBUDGET!$C$60="",0,MONATSBUDGET!$C$60)-SUM(F1060:F1079)-SUM(H1060:H1075))))</x:f>
      </x:c>
      <x:c r="I1076" s="88" t="str">
        <x:f>IF(C1076="","",MAX(0,ROUND(D1076+E1076-F1076-G1076-H1076,2)))</x:f>
      </x:c>
      <x:c r="J1076" s="88" t="str">
        <x:f>IF(C1076="","",F1076+G1076+H1076)</x:f>
      </x:c>
      <x:c r="K1076" s="88" t="str">
        <x:f>IF(C1076="","",MAX(0,SUMIFS(SONDERZAHLUNGEN!$E$9:$E$128,SONDERZAHLUNGEN!$B$9:$B$128,C1076,SONDERZAHLUNGEN!$C$9:$C$128,A1076,SONDERZAHLUNGEN!$H$9:$H$128,"OK",SONDERZAHLUNGEN!$F$9:$F$128,"Ja")-G1076))</x:f>
      </x:c>
    </x:row>
    <x:row r="1077" ht="19" customHeight="1">
      <x:c r="A1077" s="90" t="n">
        <x:f>MONATSBUDGET!$A$60</x:f>
        <x:v>47818</x:v>
      </x:c>
      <x:c r="B1077" t="n">
        <x:f>18</x:f>
        <x:v>18</x:v>
      </x:c>
      <x:c r="C1077" t="str">
        <x:f>IF($N$26="","",$N$26)</x:f>
      </x:c>
      <x:c r="D1077" s="88" t="str">
        <x:f>IF(C1077="","",I1057)</x:f>
      </x:c>
      <x:c r="E1077" s="88" t="str">
        <x:f>IF(C1077="","",ROUND(D1077*$P$26/12,2))</x:f>
      </x:c>
      <x:c r="F1077" s="88" t="str">
        <x:f>IF(C1077="","",MIN(D1077+E1077,$Q$26))</x:f>
      </x:c>
      <x:c r="G1077" s="88" t="str">
        <x:f>IF(C1077="","",MIN(MAX(0,D1077+E1077-F1077),SUMIFS(SONDERZAHLUNGEN!$E$9:$E$128,SONDERZAHLUNGEN!$B$9:$B$128,C1077,SONDERZAHLUNGEN!$C$9:$C$128,A1077,SONDERZAHLUNGEN!$H$9:$H$128,"OK",SONDERZAHLUNGEN!$F$9:$F$128,"Ja")))</x:f>
      </x:c>
      <x:c r="H1077" s="88" t="str">
        <x:f>IF(C1077="","",MIN(MAX(0,D1077+E1077-F1077-G1077),MAX(0,IF(MONATSBUDGET!$C$60="",0,MONATSBUDGET!$C$60)-SUM(F1060:F1079)-SUM(H1060:H1076))))</x:f>
      </x:c>
      <x:c r="I1077" s="88" t="str">
        <x:f>IF(C1077="","",MAX(0,ROUND(D1077+E1077-F1077-G1077-H1077,2)))</x:f>
      </x:c>
      <x:c r="J1077" s="88" t="str">
        <x:f>IF(C1077="","",F1077+G1077+H1077)</x:f>
      </x:c>
      <x:c r="K1077" s="88" t="str">
        <x:f>IF(C1077="","",MAX(0,SUMIFS(SONDERZAHLUNGEN!$E$9:$E$128,SONDERZAHLUNGEN!$B$9:$B$128,C1077,SONDERZAHLUNGEN!$C$9:$C$128,A1077,SONDERZAHLUNGEN!$H$9:$H$128,"OK",SONDERZAHLUNGEN!$F$9:$F$128,"Ja")-G1077))</x:f>
      </x:c>
    </x:row>
    <x:row r="1078" ht="19" customHeight="1">
      <x:c r="A1078" s="90" t="n">
        <x:f>MONATSBUDGET!$A$60</x:f>
        <x:v>47818</x:v>
      </x:c>
      <x:c r="B1078" t="n">
        <x:f>19</x:f>
        <x:v>19</x:v>
      </x:c>
      <x:c r="C1078" t="str">
        <x:f>IF($N$27="","",$N$27)</x:f>
      </x:c>
      <x:c r="D1078" s="88" t="str">
        <x:f>IF(C1078="","",I1058)</x:f>
      </x:c>
      <x:c r="E1078" s="88" t="str">
        <x:f>IF(C1078="","",ROUND(D1078*$P$27/12,2))</x:f>
      </x:c>
      <x:c r="F1078" s="88" t="str">
        <x:f>IF(C1078="","",MIN(D1078+E1078,$Q$27))</x:f>
      </x:c>
      <x:c r="G1078" s="88" t="str">
        <x:f>IF(C1078="","",MIN(MAX(0,D1078+E1078-F1078),SUMIFS(SONDERZAHLUNGEN!$E$9:$E$128,SONDERZAHLUNGEN!$B$9:$B$128,C1078,SONDERZAHLUNGEN!$C$9:$C$128,A1078,SONDERZAHLUNGEN!$H$9:$H$128,"OK",SONDERZAHLUNGEN!$F$9:$F$128,"Ja")))</x:f>
      </x:c>
      <x:c r="H1078" s="88" t="str">
        <x:f>IF(C1078="","",MIN(MAX(0,D1078+E1078-F1078-G1078),MAX(0,IF(MONATSBUDGET!$C$60="",0,MONATSBUDGET!$C$60)-SUM(F1060:F1079)-SUM(H1060:H1077))))</x:f>
      </x:c>
      <x:c r="I1078" s="88" t="str">
        <x:f>IF(C1078="","",MAX(0,ROUND(D1078+E1078-F1078-G1078-H1078,2)))</x:f>
      </x:c>
      <x:c r="J1078" s="88" t="str">
        <x:f>IF(C1078="","",F1078+G1078+H1078)</x:f>
      </x:c>
      <x:c r="K1078" s="88" t="str">
        <x:f>IF(C1078="","",MAX(0,SUMIFS(SONDERZAHLUNGEN!$E$9:$E$128,SONDERZAHLUNGEN!$B$9:$B$128,C1078,SONDERZAHLUNGEN!$C$9:$C$128,A1078,SONDERZAHLUNGEN!$H$9:$H$128,"OK",SONDERZAHLUNGEN!$F$9:$F$128,"Ja")-G1078))</x:f>
      </x:c>
    </x:row>
    <x:row r="1079" ht="19" customHeight="1">
      <x:c r="A1079" s="90" t="n">
        <x:f>MONATSBUDGET!$A$60</x:f>
        <x:v>47818</x:v>
      </x:c>
      <x:c r="B1079" t="n">
        <x:f>20</x:f>
        <x:v>20</x:v>
      </x:c>
      <x:c r="C1079" t="str">
        <x:f>IF($N$28="","",$N$28)</x:f>
      </x:c>
      <x:c r="D1079" s="88" t="str">
        <x:f>IF(C1079="","",I1059)</x:f>
      </x:c>
      <x:c r="E1079" s="88" t="str">
        <x:f>IF(C1079="","",ROUND(D1079*$P$28/12,2))</x:f>
      </x:c>
      <x:c r="F1079" s="88" t="str">
        <x:f>IF(C1079="","",MIN(D1079+E1079,$Q$28))</x:f>
      </x:c>
      <x:c r="G1079" s="88" t="str">
        <x:f>IF(C1079="","",MIN(MAX(0,D1079+E1079-F1079),SUMIFS(SONDERZAHLUNGEN!$E$9:$E$128,SONDERZAHLUNGEN!$B$9:$B$128,C1079,SONDERZAHLUNGEN!$C$9:$C$128,A1079,SONDERZAHLUNGEN!$H$9:$H$128,"OK",SONDERZAHLUNGEN!$F$9:$F$128,"Ja")))</x:f>
      </x:c>
      <x:c r="H1079" s="88" t="str">
        <x:f>IF(C1079="","",MIN(MAX(0,D1079+E1079-F1079-G1079),MAX(0,IF(MONATSBUDGET!$C$60="",0,MONATSBUDGET!$C$60)-SUM(F1060:F1079)-SUM(H1060:H1078))))</x:f>
      </x:c>
      <x:c r="I1079" s="88" t="str">
        <x:f>IF(C1079="","",MAX(0,ROUND(D1079+E1079-F1079-G1079-H1079,2)))</x:f>
      </x:c>
      <x:c r="J1079" s="88" t="str">
        <x:f>IF(C1079="","",F1079+G1079+H1079)</x:f>
      </x:c>
      <x:c r="K1079" s="88" t="str">
        <x:f>IF(C1079="","",MAX(0,SUMIFS(SONDERZAHLUNGEN!$E$9:$E$128,SONDERZAHLUNGEN!$B$9:$B$128,C1079,SONDERZAHLUNGEN!$C$9:$C$128,A1079,SONDERZAHLUNGEN!$H$9:$H$128,"OK",SONDERZAHLUNGEN!$F$9:$F$128,"Ja")-G1079))</x:f>
      </x:c>
    </x:row>
    <x:row r="1080" ht="19" customHeight="1">
      <x:c r="A1080" s="90" t="n">
        <x:f>MONATSBUDGET!$A$61</x:f>
        <x:v>47849</x:v>
      </x:c>
      <x:c r="B1080" t="n">
        <x:f>1</x:f>
        <x:v>1</x:v>
      </x:c>
      <x:c r="C1080" t="str">
        <x:f>IF($N$9="","",$N$9)</x:f>
      </x:c>
      <x:c r="D1080" s="88" t="str">
        <x:f>IF(C1080="","",I1060)</x:f>
      </x:c>
      <x:c r="E1080" s="88" t="str">
        <x:f>IF(C1080="","",ROUND(D1080*$P$9/12,2))</x:f>
      </x:c>
      <x:c r="F1080" s="88" t="str">
        <x:f>IF(C1080="","",MIN(D1080+E1080,$Q$9))</x:f>
      </x:c>
      <x:c r="G1080" s="88" t="str">
        <x:f>IF(C1080="","",MIN(MAX(0,D1080+E1080-F1080),SUMIFS(SONDERZAHLUNGEN!$E$9:$E$128,SONDERZAHLUNGEN!$B$9:$B$128,C1080,SONDERZAHLUNGEN!$C$9:$C$128,A1080,SONDERZAHLUNGEN!$H$9:$H$128,"OK",SONDERZAHLUNGEN!$F$9:$F$128,"Ja")))</x:f>
      </x:c>
      <x:c r="H1080" s="88" t="str">
        <x:f>IF(C1080="","",MIN(MAX(0,D1080+E1080-F1080-G1080),MAX(0,IF(MONATSBUDGET!$C$61="",0,MONATSBUDGET!$C$61)-SUM(F1080:F1099)-0)))</x:f>
      </x:c>
      <x:c r="I1080" s="88" t="str">
        <x:f>IF(C1080="","",MAX(0,ROUND(D1080+E1080-F1080-G1080-H1080,2)))</x:f>
      </x:c>
      <x:c r="J1080" s="88" t="str">
        <x:f>IF(C1080="","",F1080+G1080+H1080)</x:f>
      </x:c>
      <x:c r="K1080" s="88" t="str">
        <x:f>IF(C1080="","",MAX(0,SUMIFS(SONDERZAHLUNGEN!$E$9:$E$128,SONDERZAHLUNGEN!$B$9:$B$128,C1080,SONDERZAHLUNGEN!$C$9:$C$128,A1080,SONDERZAHLUNGEN!$H$9:$H$128,"OK",SONDERZAHLUNGEN!$F$9:$F$128,"Ja")-G1080))</x:f>
      </x:c>
    </x:row>
    <x:row r="1081" ht="19" customHeight="1">
      <x:c r="A1081" s="90" t="n">
        <x:f>MONATSBUDGET!$A$61</x:f>
        <x:v>47849</x:v>
      </x:c>
      <x:c r="B1081" t="n">
        <x:f>2</x:f>
        <x:v>2</x:v>
      </x:c>
      <x:c r="C1081" t="str">
        <x:f>IF($N$10="","",$N$10)</x:f>
      </x:c>
      <x:c r="D1081" s="88" t="str">
        <x:f>IF(C1081="","",I1061)</x:f>
      </x:c>
      <x:c r="E1081" s="88" t="str">
        <x:f>IF(C1081="","",ROUND(D1081*$P$10/12,2))</x:f>
      </x:c>
      <x:c r="F1081" s="88" t="str">
        <x:f>IF(C1081="","",MIN(D1081+E1081,$Q$10))</x:f>
      </x:c>
      <x:c r="G1081" s="88" t="str">
        <x:f>IF(C1081="","",MIN(MAX(0,D1081+E1081-F1081),SUMIFS(SONDERZAHLUNGEN!$E$9:$E$128,SONDERZAHLUNGEN!$B$9:$B$128,C1081,SONDERZAHLUNGEN!$C$9:$C$128,A1081,SONDERZAHLUNGEN!$H$9:$H$128,"OK",SONDERZAHLUNGEN!$F$9:$F$128,"Ja")))</x:f>
      </x:c>
      <x:c r="H1081" s="88" t="str">
        <x:f>IF(C1081="","",MIN(MAX(0,D1081+E1081-F1081-G1081),MAX(0,IF(MONATSBUDGET!$C$61="",0,MONATSBUDGET!$C$61)-SUM(F1080:F1099)-SUM(H1080:H1080))))</x:f>
      </x:c>
      <x:c r="I1081" s="88" t="str">
        <x:f>IF(C1081="","",MAX(0,ROUND(D1081+E1081-F1081-G1081-H1081,2)))</x:f>
      </x:c>
      <x:c r="J1081" s="88" t="str">
        <x:f>IF(C1081="","",F1081+G1081+H1081)</x:f>
      </x:c>
      <x:c r="K1081" s="88" t="str">
        <x:f>IF(C1081="","",MAX(0,SUMIFS(SONDERZAHLUNGEN!$E$9:$E$128,SONDERZAHLUNGEN!$B$9:$B$128,C1081,SONDERZAHLUNGEN!$C$9:$C$128,A1081,SONDERZAHLUNGEN!$H$9:$H$128,"OK",SONDERZAHLUNGEN!$F$9:$F$128,"Ja")-G1081))</x:f>
      </x:c>
    </x:row>
    <x:row r="1082" ht="19" customHeight="1">
      <x:c r="A1082" s="90" t="n">
        <x:f>MONATSBUDGET!$A$61</x:f>
        <x:v>47849</x:v>
      </x:c>
      <x:c r="B1082" t="n">
        <x:f>3</x:f>
        <x:v>3</x:v>
      </x:c>
      <x:c r="C1082" t="str">
        <x:f>IF($N$11="","",$N$11)</x:f>
      </x:c>
      <x:c r="D1082" s="88" t="str">
        <x:f>IF(C1082="","",I1062)</x:f>
      </x:c>
      <x:c r="E1082" s="88" t="str">
        <x:f>IF(C1082="","",ROUND(D1082*$P$11/12,2))</x:f>
      </x:c>
      <x:c r="F1082" s="88" t="str">
        <x:f>IF(C1082="","",MIN(D1082+E1082,$Q$11))</x:f>
      </x:c>
      <x:c r="G1082" s="88" t="str">
        <x:f>IF(C1082="","",MIN(MAX(0,D1082+E1082-F1082),SUMIFS(SONDERZAHLUNGEN!$E$9:$E$128,SONDERZAHLUNGEN!$B$9:$B$128,C1082,SONDERZAHLUNGEN!$C$9:$C$128,A1082,SONDERZAHLUNGEN!$H$9:$H$128,"OK",SONDERZAHLUNGEN!$F$9:$F$128,"Ja")))</x:f>
      </x:c>
      <x:c r="H1082" s="88" t="str">
        <x:f>IF(C1082="","",MIN(MAX(0,D1082+E1082-F1082-G1082),MAX(0,IF(MONATSBUDGET!$C$61="",0,MONATSBUDGET!$C$61)-SUM(F1080:F1099)-SUM(H1080:H1081))))</x:f>
      </x:c>
      <x:c r="I1082" s="88" t="str">
        <x:f>IF(C1082="","",MAX(0,ROUND(D1082+E1082-F1082-G1082-H1082,2)))</x:f>
      </x:c>
      <x:c r="J1082" s="88" t="str">
        <x:f>IF(C1082="","",F1082+G1082+H1082)</x:f>
      </x:c>
      <x:c r="K1082" s="88" t="str">
        <x:f>IF(C1082="","",MAX(0,SUMIFS(SONDERZAHLUNGEN!$E$9:$E$128,SONDERZAHLUNGEN!$B$9:$B$128,C1082,SONDERZAHLUNGEN!$C$9:$C$128,A1082,SONDERZAHLUNGEN!$H$9:$H$128,"OK",SONDERZAHLUNGEN!$F$9:$F$128,"Ja")-G1082))</x:f>
      </x:c>
    </x:row>
    <x:row r="1083" ht="19" customHeight="1">
      <x:c r="A1083" s="90" t="n">
        <x:f>MONATSBUDGET!$A$61</x:f>
        <x:v>47849</x:v>
      </x:c>
      <x:c r="B1083" t="n">
        <x:f>4</x:f>
        <x:v>4</x:v>
      </x:c>
      <x:c r="C1083" t="str">
        <x:f>IF($N$12="","",$N$12)</x:f>
      </x:c>
      <x:c r="D1083" s="88" t="str">
        <x:f>IF(C1083="","",I1063)</x:f>
      </x:c>
      <x:c r="E1083" s="88" t="str">
        <x:f>IF(C1083="","",ROUND(D1083*$P$12/12,2))</x:f>
      </x:c>
      <x:c r="F1083" s="88" t="str">
        <x:f>IF(C1083="","",MIN(D1083+E1083,$Q$12))</x:f>
      </x:c>
      <x:c r="G1083" s="88" t="str">
        <x:f>IF(C1083="","",MIN(MAX(0,D1083+E1083-F1083),SUMIFS(SONDERZAHLUNGEN!$E$9:$E$128,SONDERZAHLUNGEN!$B$9:$B$128,C1083,SONDERZAHLUNGEN!$C$9:$C$128,A1083,SONDERZAHLUNGEN!$H$9:$H$128,"OK",SONDERZAHLUNGEN!$F$9:$F$128,"Ja")))</x:f>
      </x:c>
      <x:c r="H1083" s="88" t="str">
        <x:f>IF(C1083="","",MIN(MAX(0,D1083+E1083-F1083-G1083),MAX(0,IF(MONATSBUDGET!$C$61="",0,MONATSBUDGET!$C$61)-SUM(F1080:F1099)-SUM(H1080:H1082))))</x:f>
      </x:c>
      <x:c r="I1083" s="88" t="str">
        <x:f>IF(C1083="","",MAX(0,ROUND(D1083+E1083-F1083-G1083-H1083,2)))</x:f>
      </x:c>
      <x:c r="J1083" s="88" t="str">
        <x:f>IF(C1083="","",F1083+G1083+H1083)</x:f>
      </x:c>
      <x:c r="K1083" s="88" t="str">
        <x:f>IF(C1083="","",MAX(0,SUMIFS(SONDERZAHLUNGEN!$E$9:$E$128,SONDERZAHLUNGEN!$B$9:$B$128,C1083,SONDERZAHLUNGEN!$C$9:$C$128,A1083,SONDERZAHLUNGEN!$H$9:$H$128,"OK",SONDERZAHLUNGEN!$F$9:$F$128,"Ja")-G1083))</x:f>
      </x:c>
    </x:row>
    <x:row r="1084" ht="19" customHeight="1">
      <x:c r="A1084" s="90" t="n">
        <x:f>MONATSBUDGET!$A$61</x:f>
        <x:v>47849</x:v>
      </x:c>
      <x:c r="B1084" t="n">
        <x:f>5</x:f>
        <x:v>5</x:v>
      </x:c>
      <x:c r="C1084" t="str">
        <x:f>IF($N$13="","",$N$13)</x:f>
      </x:c>
      <x:c r="D1084" s="88" t="str">
        <x:f>IF(C1084="","",I1064)</x:f>
      </x:c>
      <x:c r="E1084" s="88" t="str">
        <x:f>IF(C1084="","",ROUND(D1084*$P$13/12,2))</x:f>
      </x:c>
      <x:c r="F1084" s="88" t="str">
        <x:f>IF(C1084="","",MIN(D1084+E1084,$Q$13))</x:f>
      </x:c>
      <x:c r="G1084" s="88" t="str">
        <x:f>IF(C1084="","",MIN(MAX(0,D1084+E1084-F1084),SUMIFS(SONDERZAHLUNGEN!$E$9:$E$128,SONDERZAHLUNGEN!$B$9:$B$128,C1084,SONDERZAHLUNGEN!$C$9:$C$128,A1084,SONDERZAHLUNGEN!$H$9:$H$128,"OK",SONDERZAHLUNGEN!$F$9:$F$128,"Ja")))</x:f>
      </x:c>
      <x:c r="H1084" s="88" t="str">
        <x:f>IF(C1084="","",MIN(MAX(0,D1084+E1084-F1084-G1084),MAX(0,IF(MONATSBUDGET!$C$61="",0,MONATSBUDGET!$C$61)-SUM(F1080:F1099)-SUM(H1080:H1083))))</x:f>
      </x:c>
      <x:c r="I1084" s="88" t="str">
        <x:f>IF(C1084="","",MAX(0,ROUND(D1084+E1084-F1084-G1084-H1084,2)))</x:f>
      </x:c>
      <x:c r="J1084" s="88" t="str">
        <x:f>IF(C1084="","",F1084+G1084+H1084)</x:f>
      </x:c>
      <x:c r="K1084" s="88" t="str">
        <x:f>IF(C1084="","",MAX(0,SUMIFS(SONDERZAHLUNGEN!$E$9:$E$128,SONDERZAHLUNGEN!$B$9:$B$128,C1084,SONDERZAHLUNGEN!$C$9:$C$128,A1084,SONDERZAHLUNGEN!$H$9:$H$128,"OK",SONDERZAHLUNGEN!$F$9:$F$128,"Ja")-G1084))</x:f>
      </x:c>
    </x:row>
    <x:row r="1085" ht="19" customHeight="1">
      <x:c r="A1085" s="90" t="n">
        <x:f>MONATSBUDGET!$A$61</x:f>
        <x:v>47849</x:v>
      </x:c>
      <x:c r="B1085" t="n">
        <x:f>6</x:f>
        <x:v>6</x:v>
      </x:c>
      <x:c r="C1085" t="str">
        <x:f>IF($N$14="","",$N$14)</x:f>
      </x:c>
      <x:c r="D1085" s="88" t="str">
        <x:f>IF(C1085="","",I1065)</x:f>
      </x:c>
      <x:c r="E1085" s="88" t="str">
        <x:f>IF(C1085="","",ROUND(D1085*$P$14/12,2))</x:f>
      </x:c>
      <x:c r="F1085" s="88" t="str">
        <x:f>IF(C1085="","",MIN(D1085+E1085,$Q$14))</x:f>
      </x:c>
      <x:c r="G1085" s="88" t="str">
        <x:f>IF(C1085="","",MIN(MAX(0,D1085+E1085-F1085),SUMIFS(SONDERZAHLUNGEN!$E$9:$E$128,SONDERZAHLUNGEN!$B$9:$B$128,C1085,SONDERZAHLUNGEN!$C$9:$C$128,A1085,SONDERZAHLUNGEN!$H$9:$H$128,"OK",SONDERZAHLUNGEN!$F$9:$F$128,"Ja")))</x:f>
      </x:c>
      <x:c r="H1085" s="88" t="str">
        <x:f>IF(C1085="","",MIN(MAX(0,D1085+E1085-F1085-G1085),MAX(0,IF(MONATSBUDGET!$C$61="",0,MONATSBUDGET!$C$61)-SUM(F1080:F1099)-SUM(H1080:H1084))))</x:f>
      </x:c>
      <x:c r="I1085" s="88" t="str">
        <x:f>IF(C1085="","",MAX(0,ROUND(D1085+E1085-F1085-G1085-H1085,2)))</x:f>
      </x:c>
      <x:c r="J1085" s="88" t="str">
        <x:f>IF(C1085="","",F1085+G1085+H1085)</x:f>
      </x:c>
      <x:c r="K1085" s="88" t="str">
        <x:f>IF(C1085="","",MAX(0,SUMIFS(SONDERZAHLUNGEN!$E$9:$E$128,SONDERZAHLUNGEN!$B$9:$B$128,C1085,SONDERZAHLUNGEN!$C$9:$C$128,A1085,SONDERZAHLUNGEN!$H$9:$H$128,"OK",SONDERZAHLUNGEN!$F$9:$F$128,"Ja")-G1085))</x:f>
      </x:c>
    </x:row>
    <x:row r="1086" ht="19" customHeight="1">
      <x:c r="A1086" s="90" t="n">
        <x:f>MONATSBUDGET!$A$61</x:f>
        <x:v>47849</x:v>
      </x:c>
      <x:c r="B1086" t="n">
        <x:f>7</x:f>
        <x:v>7</x:v>
      </x:c>
      <x:c r="C1086" t="str">
        <x:f>IF($N$15="","",$N$15)</x:f>
      </x:c>
      <x:c r="D1086" s="88" t="str">
        <x:f>IF(C1086="","",I1066)</x:f>
      </x:c>
      <x:c r="E1086" s="88" t="str">
        <x:f>IF(C1086="","",ROUND(D1086*$P$15/12,2))</x:f>
      </x:c>
      <x:c r="F1086" s="88" t="str">
        <x:f>IF(C1086="","",MIN(D1086+E1086,$Q$15))</x:f>
      </x:c>
      <x:c r="G1086" s="88" t="str">
        <x:f>IF(C1086="","",MIN(MAX(0,D1086+E1086-F1086),SUMIFS(SONDERZAHLUNGEN!$E$9:$E$128,SONDERZAHLUNGEN!$B$9:$B$128,C1086,SONDERZAHLUNGEN!$C$9:$C$128,A1086,SONDERZAHLUNGEN!$H$9:$H$128,"OK",SONDERZAHLUNGEN!$F$9:$F$128,"Ja")))</x:f>
      </x:c>
      <x:c r="H1086" s="88" t="str">
        <x:f>IF(C1086="","",MIN(MAX(0,D1086+E1086-F1086-G1086),MAX(0,IF(MONATSBUDGET!$C$61="",0,MONATSBUDGET!$C$61)-SUM(F1080:F1099)-SUM(H1080:H1085))))</x:f>
      </x:c>
      <x:c r="I1086" s="88" t="str">
        <x:f>IF(C1086="","",MAX(0,ROUND(D1086+E1086-F1086-G1086-H1086,2)))</x:f>
      </x:c>
      <x:c r="J1086" s="88" t="str">
        <x:f>IF(C1086="","",F1086+G1086+H1086)</x:f>
      </x:c>
      <x:c r="K1086" s="88" t="str">
        <x:f>IF(C1086="","",MAX(0,SUMIFS(SONDERZAHLUNGEN!$E$9:$E$128,SONDERZAHLUNGEN!$B$9:$B$128,C1086,SONDERZAHLUNGEN!$C$9:$C$128,A1086,SONDERZAHLUNGEN!$H$9:$H$128,"OK",SONDERZAHLUNGEN!$F$9:$F$128,"Ja")-G1086))</x:f>
      </x:c>
    </x:row>
    <x:row r="1087" ht="19" customHeight="1">
      <x:c r="A1087" s="90" t="n">
        <x:f>MONATSBUDGET!$A$61</x:f>
        <x:v>47849</x:v>
      </x:c>
      <x:c r="B1087" t="n">
        <x:f>8</x:f>
        <x:v>8</x:v>
      </x:c>
      <x:c r="C1087" t="str">
        <x:f>IF($N$16="","",$N$16)</x:f>
      </x:c>
      <x:c r="D1087" s="88" t="str">
        <x:f>IF(C1087="","",I1067)</x:f>
      </x:c>
      <x:c r="E1087" s="88" t="str">
        <x:f>IF(C1087="","",ROUND(D1087*$P$16/12,2))</x:f>
      </x:c>
      <x:c r="F1087" s="88" t="str">
        <x:f>IF(C1087="","",MIN(D1087+E1087,$Q$16))</x:f>
      </x:c>
      <x:c r="G1087" s="88" t="str">
        <x:f>IF(C1087="","",MIN(MAX(0,D1087+E1087-F1087),SUMIFS(SONDERZAHLUNGEN!$E$9:$E$128,SONDERZAHLUNGEN!$B$9:$B$128,C1087,SONDERZAHLUNGEN!$C$9:$C$128,A1087,SONDERZAHLUNGEN!$H$9:$H$128,"OK",SONDERZAHLUNGEN!$F$9:$F$128,"Ja")))</x:f>
      </x:c>
      <x:c r="H1087" s="88" t="str">
        <x:f>IF(C1087="","",MIN(MAX(0,D1087+E1087-F1087-G1087),MAX(0,IF(MONATSBUDGET!$C$61="",0,MONATSBUDGET!$C$61)-SUM(F1080:F1099)-SUM(H1080:H1086))))</x:f>
      </x:c>
      <x:c r="I1087" s="88" t="str">
        <x:f>IF(C1087="","",MAX(0,ROUND(D1087+E1087-F1087-G1087-H1087,2)))</x:f>
      </x:c>
      <x:c r="J1087" s="88" t="str">
        <x:f>IF(C1087="","",F1087+G1087+H1087)</x:f>
      </x:c>
      <x:c r="K1087" s="88" t="str">
        <x:f>IF(C1087="","",MAX(0,SUMIFS(SONDERZAHLUNGEN!$E$9:$E$128,SONDERZAHLUNGEN!$B$9:$B$128,C1087,SONDERZAHLUNGEN!$C$9:$C$128,A1087,SONDERZAHLUNGEN!$H$9:$H$128,"OK",SONDERZAHLUNGEN!$F$9:$F$128,"Ja")-G1087))</x:f>
      </x:c>
    </x:row>
    <x:row r="1088" ht="19" customHeight="1">
      <x:c r="A1088" s="90" t="n">
        <x:f>MONATSBUDGET!$A$61</x:f>
        <x:v>47849</x:v>
      </x:c>
      <x:c r="B1088" t="n">
        <x:f>9</x:f>
        <x:v>9</x:v>
      </x:c>
      <x:c r="C1088" t="str">
        <x:f>IF($N$17="","",$N$17)</x:f>
      </x:c>
      <x:c r="D1088" s="88" t="str">
        <x:f>IF(C1088="","",I1068)</x:f>
      </x:c>
      <x:c r="E1088" s="88" t="str">
        <x:f>IF(C1088="","",ROUND(D1088*$P$17/12,2))</x:f>
      </x:c>
      <x:c r="F1088" s="88" t="str">
        <x:f>IF(C1088="","",MIN(D1088+E1088,$Q$17))</x:f>
      </x:c>
      <x:c r="G1088" s="88" t="str">
        <x:f>IF(C1088="","",MIN(MAX(0,D1088+E1088-F1088),SUMIFS(SONDERZAHLUNGEN!$E$9:$E$128,SONDERZAHLUNGEN!$B$9:$B$128,C1088,SONDERZAHLUNGEN!$C$9:$C$128,A1088,SONDERZAHLUNGEN!$H$9:$H$128,"OK",SONDERZAHLUNGEN!$F$9:$F$128,"Ja")))</x:f>
      </x:c>
      <x:c r="H1088" s="88" t="str">
        <x:f>IF(C1088="","",MIN(MAX(0,D1088+E1088-F1088-G1088),MAX(0,IF(MONATSBUDGET!$C$61="",0,MONATSBUDGET!$C$61)-SUM(F1080:F1099)-SUM(H1080:H1087))))</x:f>
      </x:c>
      <x:c r="I1088" s="88" t="str">
        <x:f>IF(C1088="","",MAX(0,ROUND(D1088+E1088-F1088-G1088-H1088,2)))</x:f>
      </x:c>
      <x:c r="J1088" s="88" t="str">
        <x:f>IF(C1088="","",F1088+G1088+H1088)</x:f>
      </x:c>
      <x:c r="K1088" s="88" t="str">
        <x:f>IF(C1088="","",MAX(0,SUMIFS(SONDERZAHLUNGEN!$E$9:$E$128,SONDERZAHLUNGEN!$B$9:$B$128,C1088,SONDERZAHLUNGEN!$C$9:$C$128,A1088,SONDERZAHLUNGEN!$H$9:$H$128,"OK",SONDERZAHLUNGEN!$F$9:$F$128,"Ja")-G1088))</x:f>
      </x:c>
    </x:row>
    <x:row r="1089" ht="19" customHeight="1">
      <x:c r="A1089" s="90" t="n">
        <x:f>MONATSBUDGET!$A$61</x:f>
        <x:v>47849</x:v>
      </x:c>
      <x:c r="B1089" t="n">
        <x:f>10</x:f>
        <x:v>10</x:v>
      </x:c>
      <x:c r="C1089" t="str">
        <x:f>IF($N$18="","",$N$18)</x:f>
      </x:c>
      <x:c r="D1089" s="88" t="str">
        <x:f>IF(C1089="","",I1069)</x:f>
      </x:c>
      <x:c r="E1089" s="88" t="str">
        <x:f>IF(C1089="","",ROUND(D1089*$P$18/12,2))</x:f>
      </x:c>
      <x:c r="F1089" s="88" t="str">
        <x:f>IF(C1089="","",MIN(D1089+E1089,$Q$18))</x:f>
      </x:c>
      <x:c r="G1089" s="88" t="str">
        <x:f>IF(C1089="","",MIN(MAX(0,D1089+E1089-F1089),SUMIFS(SONDERZAHLUNGEN!$E$9:$E$128,SONDERZAHLUNGEN!$B$9:$B$128,C1089,SONDERZAHLUNGEN!$C$9:$C$128,A1089,SONDERZAHLUNGEN!$H$9:$H$128,"OK",SONDERZAHLUNGEN!$F$9:$F$128,"Ja")))</x:f>
      </x:c>
      <x:c r="H1089" s="88" t="str">
        <x:f>IF(C1089="","",MIN(MAX(0,D1089+E1089-F1089-G1089),MAX(0,IF(MONATSBUDGET!$C$61="",0,MONATSBUDGET!$C$61)-SUM(F1080:F1099)-SUM(H1080:H1088))))</x:f>
      </x:c>
      <x:c r="I1089" s="88" t="str">
        <x:f>IF(C1089="","",MAX(0,ROUND(D1089+E1089-F1089-G1089-H1089,2)))</x:f>
      </x:c>
      <x:c r="J1089" s="88" t="str">
        <x:f>IF(C1089="","",F1089+G1089+H1089)</x:f>
      </x:c>
      <x:c r="K1089" s="88" t="str">
        <x:f>IF(C1089="","",MAX(0,SUMIFS(SONDERZAHLUNGEN!$E$9:$E$128,SONDERZAHLUNGEN!$B$9:$B$128,C1089,SONDERZAHLUNGEN!$C$9:$C$128,A1089,SONDERZAHLUNGEN!$H$9:$H$128,"OK",SONDERZAHLUNGEN!$F$9:$F$128,"Ja")-G1089))</x:f>
      </x:c>
    </x:row>
    <x:row r="1090" ht="19" customHeight="1">
      <x:c r="A1090" s="90" t="n">
        <x:f>MONATSBUDGET!$A$61</x:f>
        <x:v>47849</x:v>
      </x:c>
      <x:c r="B1090" t="n">
        <x:f>11</x:f>
        <x:v>11</x:v>
      </x:c>
      <x:c r="C1090" t="str">
        <x:f>IF($N$19="","",$N$19)</x:f>
      </x:c>
      <x:c r="D1090" s="88" t="str">
        <x:f>IF(C1090="","",I1070)</x:f>
      </x:c>
      <x:c r="E1090" s="88" t="str">
        <x:f>IF(C1090="","",ROUND(D1090*$P$19/12,2))</x:f>
      </x:c>
      <x:c r="F1090" s="88" t="str">
        <x:f>IF(C1090="","",MIN(D1090+E1090,$Q$19))</x:f>
      </x:c>
      <x:c r="G1090" s="88" t="str">
        <x:f>IF(C1090="","",MIN(MAX(0,D1090+E1090-F1090),SUMIFS(SONDERZAHLUNGEN!$E$9:$E$128,SONDERZAHLUNGEN!$B$9:$B$128,C1090,SONDERZAHLUNGEN!$C$9:$C$128,A1090,SONDERZAHLUNGEN!$H$9:$H$128,"OK",SONDERZAHLUNGEN!$F$9:$F$128,"Ja")))</x:f>
      </x:c>
      <x:c r="H1090" s="88" t="str">
        <x:f>IF(C1090="","",MIN(MAX(0,D1090+E1090-F1090-G1090),MAX(0,IF(MONATSBUDGET!$C$61="",0,MONATSBUDGET!$C$61)-SUM(F1080:F1099)-SUM(H1080:H1089))))</x:f>
      </x:c>
      <x:c r="I1090" s="88" t="str">
        <x:f>IF(C1090="","",MAX(0,ROUND(D1090+E1090-F1090-G1090-H1090,2)))</x:f>
      </x:c>
      <x:c r="J1090" s="88" t="str">
        <x:f>IF(C1090="","",F1090+G1090+H1090)</x:f>
      </x:c>
      <x:c r="K1090" s="88" t="str">
        <x:f>IF(C1090="","",MAX(0,SUMIFS(SONDERZAHLUNGEN!$E$9:$E$128,SONDERZAHLUNGEN!$B$9:$B$128,C1090,SONDERZAHLUNGEN!$C$9:$C$128,A1090,SONDERZAHLUNGEN!$H$9:$H$128,"OK",SONDERZAHLUNGEN!$F$9:$F$128,"Ja")-G1090))</x:f>
      </x:c>
    </x:row>
    <x:row r="1091" ht="19" customHeight="1">
      <x:c r="A1091" s="90" t="n">
        <x:f>MONATSBUDGET!$A$61</x:f>
        <x:v>47849</x:v>
      </x:c>
      <x:c r="B1091" t="n">
        <x:f>12</x:f>
        <x:v>12</x:v>
      </x:c>
      <x:c r="C1091" t="str">
        <x:f>IF($N$20="","",$N$20)</x:f>
      </x:c>
      <x:c r="D1091" s="88" t="str">
        <x:f>IF(C1091="","",I1071)</x:f>
      </x:c>
      <x:c r="E1091" s="88" t="str">
        <x:f>IF(C1091="","",ROUND(D1091*$P$20/12,2))</x:f>
      </x:c>
      <x:c r="F1091" s="88" t="str">
        <x:f>IF(C1091="","",MIN(D1091+E1091,$Q$20))</x:f>
      </x:c>
      <x:c r="G1091" s="88" t="str">
        <x:f>IF(C1091="","",MIN(MAX(0,D1091+E1091-F1091),SUMIFS(SONDERZAHLUNGEN!$E$9:$E$128,SONDERZAHLUNGEN!$B$9:$B$128,C1091,SONDERZAHLUNGEN!$C$9:$C$128,A1091,SONDERZAHLUNGEN!$H$9:$H$128,"OK",SONDERZAHLUNGEN!$F$9:$F$128,"Ja")))</x:f>
      </x:c>
      <x:c r="H1091" s="88" t="str">
        <x:f>IF(C1091="","",MIN(MAX(0,D1091+E1091-F1091-G1091),MAX(0,IF(MONATSBUDGET!$C$61="",0,MONATSBUDGET!$C$61)-SUM(F1080:F1099)-SUM(H1080:H1090))))</x:f>
      </x:c>
      <x:c r="I1091" s="88" t="str">
        <x:f>IF(C1091="","",MAX(0,ROUND(D1091+E1091-F1091-G1091-H1091,2)))</x:f>
      </x:c>
      <x:c r="J1091" s="88" t="str">
        <x:f>IF(C1091="","",F1091+G1091+H1091)</x:f>
      </x:c>
      <x:c r="K1091" s="88" t="str">
        <x:f>IF(C1091="","",MAX(0,SUMIFS(SONDERZAHLUNGEN!$E$9:$E$128,SONDERZAHLUNGEN!$B$9:$B$128,C1091,SONDERZAHLUNGEN!$C$9:$C$128,A1091,SONDERZAHLUNGEN!$H$9:$H$128,"OK",SONDERZAHLUNGEN!$F$9:$F$128,"Ja")-G1091))</x:f>
      </x:c>
    </x:row>
    <x:row r="1092" ht="19" customHeight="1">
      <x:c r="A1092" s="90" t="n">
        <x:f>MONATSBUDGET!$A$61</x:f>
        <x:v>47849</x:v>
      </x:c>
      <x:c r="B1092" t="n">
        <x:f>13</x:f>
        <x:v>13</x:v>
      </x:c>
      <x:c r="C1092" t="str">
        <x:f>IF($N$21="","",$N$21)</x:f>
      </x:c>
      <x:c r="D1092" s="88" t="str">
        <x:f>IF(C1092="","",I1072)</x:f>
      </x:c>
      <x:c r="E1092" s="88" t="str">
        <x:f>IF(C1092="","",ROUND(D1092*$P$21/12,2))</x:f>
      </x:c>
      <x:c r="F1092" s="88" t="str">
        <x:f>IF(C1092="","",MIN(D1092+E1092,$Q$21))</x:f>
      </x:c>
      <x:c r="G1092" s="88" t="str">
        <x:f>IF(C1092="","",MIN(MAX(0,D1092+E1092-F1092),SUMIFS(SONDERZAHLUNGEN!$E$9:$E$128,SONDERZAHLUNGEN!$B$9:$B$128,C1092,SONDERZAHLUNGEN!$C$9:$C$128,A1092,SONDERZAHLUNGEN!$H$9:$H$128,"OK",SONDERZAHLUNGEN!$F$9:$F$128,"Ja")))</x:f>
      </x:c>
      <x:c r="H1092" s="88" t="str">
        <x:f>IF(C1092="","",MIN(MAX(0,D1092+E1092-F1092-G1092),MAX(0,IF(MONATSBUDGET!$C$61="",0,MONATSBUDGET!$C$61)-SUM(F1080:F1099)-SUM(H1080:H1091))))</x:f>
      </x:c>
      <x:c r="I1092" s="88" t="str">
        <x:f>IF(C1092="","",MAX(0,ROUND(D1092+E1092-F1092-G1092-H1092,2)))</x:f>
      </x:c>
      <x:c r="J1092" s="88" t="str">
        <x:f>IF(C1092="","",F1092+G1092+H1092)</x:f>
      </x:c>
      <x:c r="K1092" s="88" t="str">
        <x:f>IF(C1092="","",MAX(0,SUMIFS(SONDERZAHLUNGEN!$E$9:$E$128,SONDERZAHLUNGEN!$B$9:$B$128,C1092,SONDERZAHLUNGEN!$C$9:$C$128,A1092,SONDERZAHLUNGEN!$H$9:$H$128,"OK",SONDERZAHLUNGEN!$F$9:$F$128,"Ja")-G1092))</x:f>
      </x:c>
    </x:row>
    <x:row r="1093" ht="19" customHeight="1">
      <x:c r="A1093" s="90" t="n">
        <x:f>MONATSBUDGET!$A$61</x:f>
        <x:v>47849</x:v>
      </x:c>
      <x:c r="B1093" t="n">
        <x:f>14</x:f>
        <x:v>14</x:v>
      </x:c>
      <x:c r="C1093" t="str">
        <x:f>IF($N$22="","",$N$22)</x:f>
      </x:c>
      <x:c r="D1093" s="88" t="str">
        <x:f>IF(C1093="","",I1073)</x:f>
      </x:c>
      <x:c r="E1093" s="88" t="str">
        <x:f>IF(C1093="","",ROUND(D1093*$P$22/12,2))</x:f>
      </x:c>
      <x:c r="F1093" s="88" t="str">
        <x:f>IF(C1093="","",MIN(D1093+E1093,$Q$22))</x:f>
      </x:c>
      <x:c r="G1093" s="88" t="str">
        <x:f>IF(C1093="","",MIN(MAX(0,D1093+E1093-F1093),SUMIFS(SONDERZAHLUNGEN!$E$9:$E$128,SONDERZAHLUNGEN!$B$9:$B$128,C1093,SONDERZAHLUNGEN!$C$9:$C$128,A1093,SONDERZAHLUNGEN!$H$9:$H$128,"OK",SONDERZAHLUNGEN!$F$9:$F$128,"Ja")))</x:f>
      </x:c>
      <x:c r="H1093" s="88" t="str">
        <x:f>IF(C1093="","",MIN(MAX(0,D1093+E1093-F1093-G1093),MAX(0,IF(MONATSBUDGET!$C$61="",0,MONATSBUDGET!$C$61)-SUM(F1080:F1099)-SUM(H1080:H1092))))</x:f>
      </x:c>
      <x:c r="I1093" s="88" t="str">
        <x:f>IF(C1093="","",MAX(0,ROUND(D1093+E1093-F1093-G1093-H1093,2)))</x:f>
      </x:c>
      <x:c r="J1093" s="88" t="str">
        <x:f>IF(C1093="","",F1093+G1093+H1093)</x:f>
      </x:c>
      <x:c r="K1093" s="88" t="str">
        <x:f>IF(C1093="","",MAX(0,SUMIFS(SONDERZAHLUNGEN!$E$9:$E$128,SONDERZAHLUNGEN!$B$9:$B$128,C1093,SONDERZAHLUNGEN!$C$9:$C$128,A1093,SONDERZAHLUNGEN!$H$9:$H$128,"OK",SONDERZAHLUNGEN!$F$9:$F$128,"Ja")-G1093))</x:f>
      </x:c>
    </x:row>
    <x:row r="1094" ht="19" customHeight="1">
      <x:c r="A1094" s="90" t="n">
        <x:f>MONATSBUDGET!$A$61</x:f>
        <x:v>47849</x:v>
      </x:c>
      <x:c r="B1094" t="n">
        <x:f>15</x:f>
        <x:v>15</x:v>
      </x:c>
      <x:c r="C1094" t="str">
        <x:f>IF($N$23="","",$N$23)</x:f>
      </x:c>
      <x:c r="D1094" s="88" t="str">
        <x:f>IF(C1094="","",I1074)</x:f>
      </x:c>
      <x:c r="E1094" s="88" t="str">
        <x:f>IF(C1094="","",ROUND(D1094*$P$23/12,2))</x:f>
      </x:c>
      <x:c r="F1094" s="88" t="str">
        <x:f>IF(C1094="","",MIN(D1094+E1094,$Q$23))</x:f>
      </x:c>
      <x:c r="G1094" s="88" t="str">
        <x:f>IF(C1094="","",MIN(MAX(0,D1094+E1094-F1094),SUMIFS(SONDERZAHLUNGEN!$E$9:$E$128,SONDERZAHLUNGEN!$B$9:$B$128,C1094,SONDERZAHLUNGEN!$C$9:$C$128,A1094,SONDERZAHLUNGEN!$H$9:$H$128,"OK",SONDERZAHLUNGEN!$F$9:$F$128,"Ja")))</x:f>
      </x:c>
      <x:c r="H1094" s="88" t="str">
        <x:f>IF(C1094="","",MIN(MAX(0,D1094+E1094-F1094-G1094),MAX(0,IF(MONATSBUDGET!$C$61="",0,MONATSBUDGET!$C$61)-SUM(F1080:F1099)-SUM(H1080:H1093))))</x:f>
      </x:c>
      <x:c r="I1094" s="88" t="str">
        <x:f>IF(C1094="","",MAX(0,ROUND(D1094+E1094-F1094-G1094-H1094,2)))</x:f>
      </x:c>
      <x:c r="J1094" s="88" t="str">
        <x:f>IF(C1094="","",F1094+G1094+H1094)</x:f>
      </x:c>
      <x:c r="K1094" s="88" t="str">
        <x:f>IF(C1094="","",MAX(0,SUMIFS(SONDERZAHLUNGEN!$E$9:$E$128,SONDERZAHLUNGEN!$B$9:$B$128,C1094,SONDERZAHLUNGEN!$C$9:$C$128,A1094,SONDERZAHLUNGEN!$H$9:$H$128,"OK",SONDERZAHLUNGEN!$F$9:$F$128,"Ja")-G1094))</x:f>
      </x:c>
    </x:row>
    <x:row r="1095" ht="19" customHeight="1">
      <x:c r="A1095" s="90" t="n">
        <x:f>MONATSBUDGET!$A$61</x:f>
        <x:v>47849</x:v>
      </x:c>
      <x:c r="B1095" t="n">
        <x:f>16</x:f>
        <x:v>16</x:v>
      </x:c>
      <x:c r="C1095" t="str">
        <x:f>IF($N$24="","",$N$24)</x:f>
      </x:c>
      <x:c r="D1095" s="88" t="str">
        <x:f>IF(C1095="","",I1075)</x:f>
      </x:c>
      <x:c r="E1095" s="88" t="str">
        <x:f>IF(C1095="","",ROUND(D1095*$P$24/12,2))</x:f>
      </x:c>
      <x:c r="F1095" s="88" t="str">
        <x:f>IF(C1095="","",MIN(D1095+E1095,$Q$24))</x:f>
      </x:c>
      <x:c r="G1095" s="88" t="str">
        <x:f>IF(C1095="","",MIN(MAX(0,D1095+E1095-F1095),SUMIFS(SONDERZAHLUNGEN!$E$9:$E$128,SONDERZAHLUNGEN!$B$9:$B$128,C1095,SONDERZAHLUNGEN!$C$9:$C$128,A1095,SONDERZAHLUNGEN!$H$9:$H$128,"OK",SONDERZAHLUNGEN!$F$9:$F$128,"Ja")))</x:f>
      </x:c>
      <x:c r="H1095" s="88" t="str">
        <x:f>IF(C1095="","",MIN(MAX(0,D1095+E1095-F1095-G1095),MAX(0,IF(MONATSBUDGET!$C$61="",0,MONATSBUDGET!$C$61)-SUM(F1080:F1099)-SUM(H1080:H1094))))</x:f>
      </x:c>
      <x:c r="I1095" s="88" t="str">
        <x:f>IF(C1095="","",MAX(0,ROUND(D1095+E1095-F1095-G1095-H1095,2)))</x:f>
      </x:c>
      <x:c r="J1095" s="88" t="str">
        <x:f>IF(C1095="","",F1095+G1095+H1095)</x:f>
      </x:c>
      <x:c r="K1095" s="88" t="str">
        <x:f>IF(C1095="","",MAX(0,SUMIFS(SONDERZAHLUNGEN!$E$9:$E$128,SONDERZAHLUNGEN!$B$9:$B$128,C1095,SONDERZAHLUNGEN!$C$9:$C$128,A1095,SONDERZAHLUNGEN!$H$9:$H$128,"OK",SONDERZAHLUNGEN!$F$9:$F$128,"Ja")-G1095))</x:f>
      </x:c>
    </x:row>
    <x:row r="1096" ht="19" customHeight="1">
      <x:c r="A1096" s="90" t="n">
        <x:f>MONATSBUDGET!$A$61</x:f>
        <x:v>47849</x:v>
      </x:c>
      <x:c r="B1096" t="n">
        <x:f>17</x:f>
        <x:v>17</x:v>
      </x:c>
      <x:c r="C1096" t="str">
        <x:f>IF($N$25="","",$N$25)</x:f>
      </x:c>
      <x:c r="D1096" s="88" t="str">
        <x:f>IF(C1096="","",I1076)</x:f>
      </x:c>
      <x:c r="E1096" s="88" t="str">
        <x:f>IF(C1096="","",ROUND(D1096*$P$25/12,2))</x:f>
      </x:c>
      <x:c r="F1096" s="88" t="str">
        <x:f>IF(C1096="","",MIN(D1096+E1096,$Q$25))</x:f>
      </x:c>
      <x:c r="G1096" s="88" t="str">
        <x:f>IF(C1096="","",MIN(MAX(0,D1096+E1096-F1096),SUMIFS(SONDERZAHLUNGEN!$E$9:$E$128,SONDERZAHLUNGEN!$B$9:$B$128,C1096,SONDERZAHLUNGEN!$C$9:$C$128,A1096,SONDERZAHLUNGEN!$H$9:$H$128,"OK",SONDERZAHLUNGEN!$F$9:$F$128,"Ja")))</x:f>
      </x:c>
      <x:c r="H1096" s="88" t="str">
        <x:f>IF(C1096="","",MIN(MAX(0,D1096+E1096-F1096-G1096),MAX(0,IF(MONATSBUDGET!$C$61="",0,MONATSBUDGET!$C$61)-SUM(F1080:F1099)-SUM(H1080:H1095))))</x:f>
      </x:c>
      <x:c r="I1096" s="88" t="str">
        <x:f>IF(C1096="","",MAX(0,ROUND(D1096+E1096-F1096-G1096-H1096,2)))</x:f>
      </x:c>
      <x:c r="J1096" s="88" t="str">
        <x:f>IF(C1096="","",F1096+G1096+H1096)</x:f>
      </x:c>
      <x:c r="K1096" s="88" t="str">
        <x:f>IF(C1096="","",MAX(0,SUMIFS(SONDERZAHLUNGEN!$E$9:$E$128,SONDERZAHLUNGEN!$B$9:$B$128,C1096,SONDERZAHLUNGEN!$C$9:$C$128,A1096,SONDERZAHLUNGEN!$H$9:$H$128,"OK",SONDERZAHLUNGEN!$F$9:$F$128,"Ja")-G1096))</x:f>
      </x:c>
    </x:row>
    <x:row r="1097" ht="19" customHeight="1">
      <x:c r="A1097" s="90" t="n">
        <x:f>MONATSBUDGET!$A$61</x:f>
        <x:v>47849</x:v>
      </x:c>
      <x:c r="B1097" t="n">
        <x:f>18</x:f>
        <x:v>18</x:v>
      </x:c>
      <x:c r="C1097" t="str">
        <x:f>IF($N$26="","",$N$26)</x:f>
      </x:c>
      <x:c r="D1097" s="88" t="str">
        <x:f>IF(C1097="","",I1077)</x:f>
      </x:c>
      <x:c r="E1097" s="88" t="str">
        <x:f>IF(C1097="","",ROUND(D1097*$P$26/12,2))</x:f>
      </x:c>
      <x:c r="F1097" s="88" t="str">
        <x:f>IF(C1097="","",MIN(D1097+E1097,$Q$26))</x:f>
      </x:c>
      <x:c r="G1097" s="88" t="str">
        <x:f>IF(C1097="","",MIN(MAX(0,D1097+E1097-F1097),SUMIFS(SONDERZAHLUNGEN!$E$9:$E$128,SONDERZAHLUNGEN!$B$9:$B$128,C1097,SONDERZAHLUNGEN!$C$9:$C$128,A1097,SONDERZAHLUNGEN!$H$9:$H$128,"OK",SONDERZAHLUNGEN!$F$9:$F$128,"Ja")))</x:f>
      </x:c>
      <x:c r="H1097" s="88" t="str">
        <x:f>IF(C1097="","",MIN(MAX(0,D1097+E1097-F1097-G1097),MAX(0,IF(MONATSBUDGET!$C$61="",0,MONATSBUDGET!$C$61)-SUM(F1080:F1099)-SUM(H1080:H1096))))</x:f>
      </x:c>
      <x:c r="I1097" s="88" t="str">
        <x:f>IF(C1097="","",MAX(0,ROUND(D1097+E1097-F1097-G1097-H1097,2)))</x:f>
      </x:c>
      <x:c r="J1097" s="88" t="str">
        <x:f>IF(C1097="","",F1097+G1097+H1097)</x:f>
      </x:c>
      <x:c r="K1097" s="88" t="str">
        <x:f>IF(C1097="","",MAX(0,SUMIFS(SONDERZAHLUNGEN!$E$9:$E$128,SONDERZAHLUNGEN!$B$9:$B$128,C1097,SONDERZAHLUNGEN!$C$9:$C$128,A1097,SONDERZAHLUNGEN!$H$9:$H$128,"OK",SONDERZAHLUNGEN!$F$9:$F$128,"Ja")-G1097))</x:f>
      </x:c>
    </x:row>
    <x:row r="1098" ht="19" customHeight="1">
      <x:c r="A1098" s="90" t="n">
        <x:f>MONATSBUDGET!$A$61</x:f>
        <x:v>47849</x:v>
      </x:c>
      <x:c r="B1098" t="n">
        <x:f>19</x:f>
        <x:v>19</x:v>
      </x:c>
      <x:c r="C1098" t="str">
        <x:f>IF($N$27="","",$N$27)</x:f>
      </x:c>
      <x:c r="D1098" s="88" t="str">
        <x:f>IF(C1098="","",I1078)</x:f>
      </x:c>
      <x:c r="E1098" s="88" t="str">
        <x:f>IF(C1098="","",ROUND(D1098*$P$27/12,2))</x:f>
      </x:c>
      <x:c r="F1098" s="88" t="str">
        <x:f>IF(C1098="","",MIN(D1098+E1098,$Q$27))</x:f>
      </x:c>
      <x:c r="G1098" s="88" t="str">
        <x:f>IF(C1098="","",MIN(MAX(0,D1098+E1098-F1098),SUMIFS(SONDERZAHLUNGEN!$E$9:$E$128,SONDERZAHLUNGEN!$B$9:$B$128,C1098,SONDERZAHLUNGEN!$C$9:$C$128,A1098,SONDERZAHLUNGEN!$H$9:$H$128,"OK",SONDERZAHLUNGEN!$F$9:$F$128,"Ja")))</x:f>
      </x:c>
      <x:c r="H1098" s="88" t="str">
        <x:f>IF(C1098="","",MIN(MAX(0,D1098+E1098-F1098-G1098),MAX(0,IF(MONATSBUDGET!$C$61="",0,MONATSBUDGET!$C$61)-SUM(F1080:F1099)-SUM(H1080:H1097))))</x:f>
      </x:c>
      <x:c r="I1098" s="88" t="str">
        <x:f>IF(C1098="","",MAX(0,ROUND(D1098+E1098-F1098-G1098-H1098,2)))</x:f>
      </x:c>
      <x:c r="J1098" s="88" t="str">
        <x:f>IF(C1098="","",F1098+G1098+H1098)</x:f>
      </x:c>
      <x:c r="K1098" s="88" t="str">
        <x:f>IF(C1098="","",MAX(0,SUMIFS(SONDERZAHLUNGEN!$E$9:$E$128,SONDERZAHLUNGEN!$B$9:$B$128,C1098,SONDERZAHLUNGEN!$C$9:$C$128,A1098,SONDERZAHLUNGEN!$H$9:$H$128,"OK",SONDERZAHLUNGEN!$F$9:$F$128,"Ja")-G1098))</x:f>
      </x:c>
    </x:row>
    <x:row r="1099" ht="19" customHeight="1">
      <x:c r="A1099" s="90" t="n">
        <x:f>MONATSBUDGET!$A$61</x:f>
        <x:v>47849</x:v>
      </x:c>
      <x:c r="B1099" t="n">
        <x:f>20</x:f>
        <x:v>20</x:v>
      </x:c>
      <x:c r="C1099" t="str">
        <x:f>IF($N$28="","",$N$28)</x:f>
      </x:c>
      <x:c r="D1099" s="88" t="str">
        <x:f>IF(C1099="","",I1079)</x:f>
      </x:c>
      <x:c r="E1099" s="88" t="str">
        <x:f>IF(C1099="","",ROUND(D1099*$P$28/12,2))</x:f>
      </x:c>
      <x:c r="F1099" s="88" t="str">
        <x:f>IF(C1099="","",MIN(D1099+E1099,$Q$28))</x:f>
      </x:c>
      <x:c r="G1099" s="88" t="str">
        <x:f>IF(C1099="","",MIN(MAX(0,D1099+E1099-F1099),SUMIFS(SONDERZAHLUNGEN!$E$9:$E$128,SONDERZAHLUNGEN!$B$9:$B$128,C1099,SONDERZAHLUNGEN!$C$9:$C$128,A1099,SONDERZAHLUNGEN!$H$9:$H$128,"OK",SONDERZAHLUNGEN!$F$9:$F$128,"Ja")))</x:f>
      </x:c>
      <x:c r="H1099" s="88" t="str">
        <x:f>IF(C1099="","",MIN(MAX(0,D1099+E1099-F1099-G1099),MAX(0,IF(MONATSBUDGET!$C$61="",0,MONATSBUDGET!$C$61)-SUM(F1080:F1099)-SUM(H1080:H1098))))</x:f>
      </x:c>
      <x:c r="I1099" s="88" t="str">
        <x:f>IF(C1099="","",MAX(0,ROUND(D1099+E1099-F1099-G1099-H1099,2)))</x:f>
      </x:c>
      <x:c r="J1099" s="88" t="str">
        <x:f>IF(C1099="","",F1099+G1099+H1099)</x:f>
      </x:c>
      <x:c r="K1099" s="88" t="str">
        <x:f>IF(C1099="","",MAX(0,SUMIFS(SONDERZAHLUNGEN!$E$9:$E$128,SONDERZAHLUNGEN!$B$9:$B$128,C1099,SONDERZAHLUNGEN!$C$9:$C$128,A1099,SONDERZAHLUNGEN!$H$9:$H$128,"OK",SONDERZAHLUNGEN!$F$9:$F$128,"Ja")-G1099))</x:f>
      </x:c>
    </x:row>
    <x:row r="1100" ht="19" customHeight="1">
      <x:c r="A1100" s="90" t="n">
        <x:f>MONATSBUDGET!$A$62</x:f>
        <x:v>47880</x:v>
      </x:c>
      <x:c r="B1100" t="n">
        <x:f>1</x:f>
        <x:v>1</x:v>
      </x:c>
      <x:c r="C1100" t="str">
        <x:f>IF($N$9="","",$N$9)</x:f>
      </x:c>
      <x:c r="D1100" s="88" t="str">
        <x:f>IF(C1100="","",I1080)</x:f>
      </x:c>
      <x:c r="E1100" s="88" t="str">
        <x:f>IF(C1100="","",ROUND(D1100*$P$9/12,2))</x:f>
      </x:c>
      <x:c r="F1100" s="88" t="str">
        <x:f>IF(C1100="","",MIN(D1100+E1100,$Q$9))</x:f>
      </x:c>
      <x:c r="G1100" s="88" t="str">
        <x:f>IF(C1100="","",MIN(MAX(0,D1100+E1100-F1100),SUMIFS(SONDERZAHLUNGEN!$E$9:$E$128,SONDERZAHLUNGEN!$B$9:$B$128,C1100,SONDERZAHLUNGEN!$C$9:$C$128,A1100,SONDERZAHLUNGEN!$H$9:$H$128,"OK",SONDERZAHLUNGEN!$F$9:$F$128,"Ja")))</x:f>
      </x:c>
      <x:c r="H1100" s="88" t="str">
        <x:f>IF(C1100="","",MIN(MAX(0,D1100+E1100-F1100-G1100),MAX(0,IF(MONATSBUDGET!$C$62="",0,MONATSBUDGET!$C$62)-SUM(F1100:F1119)-0)))</x:f>
      </x:c>
      <x:c r="I1100" s="88" t="str">
        <x:f>IF(C1100="","",MAX(0,ROUND(D1100+E1100-F1100-G1100-H1100,2)))</x:f>
      </x:c>
      <x:c r="J1100" s="88" t="str">
        <x:f>IF(C1100="","",F1100+G1100+H1100)</x:f>
      </x:c>
      <x:c r="K1100" s="88" t="str">
        <x:f>IF(C1100="","",MAX(0,SUMIFS(SONDERZAHLUNGEN!$E$9:$E$128,SONDERZAHLUNGEN!$B$9:$B$128,C1100,SONDERZAHLUNGEN!$C$9:$C$128,A1100,SONDERZAHLUNGEN!$H$9:$H$128,"OK",SONDERZAHLUNGEN!$F$9:$F$128,"Ja")-G1100))</x:f>
      </x:c>
    </x:row>
    <x:row r="1101" ht="19" customHeight="1">
      <x:c r="A1101" s="90" t="n">
        <x:f>MONATSBUDGET!$A$62</x:f>
        <x:v>47880</x:v>
      </x:c>
      <x:c r="B1101" t="n">
        <x:f>2</x:f>
        <x:v>2</x:v>
      </x:c>
      <x:c r="C1101" t="str">
        <x:f>IF($N$10="","",$N$10)</x:f>
      </x:c>
      <x:c r="D1101" s="88" t="str">
        <x:f>IF(C1101="","",I1081)</x:f>
      </x:c>
      <x:c r="E1101" s="88" t="str">
        <x:f>IF(C1101="","",ROUND(D1101*$P$10/12,2))</x:f>
      </x:c>
      <x:c r="F1101" s="88" t="str">
        <x:f>IF(C1101="","",MIN(D1101+E1101,$Q$10))</x:f>
      </x:c>
      <x:c r="G1101" s="88" t="str">
        <x:f>IF(C1101="","",MIN(MAX(0,D1101+E1101-F1101),SUMIFS(SONDERZAHLUNGEN!$E$9:$E$128,SONDERZAHLUNGEN!$B$9:$B$128,C1101,SONDERZAHLUNGEN!$C$9:$C$128,A1101,SONDERZAHLUNGEN!$H$9:$H$128,"OK",SONDERZAHLUNGEN!$F$9:$F$128,"Ja")))</x:f>
      </x:c>
      <x:c r="H1101" s="88" t="str">
        <x:f>IF(C1101="","",MIN(MAX(0,D1101+E1101-F1101-G1101),MAX(0,IF(MONATSBUDGET!$C$62="",0,MONATSBUDGET!$C$62)-SUM(F1100:F1119)-SUM(H1100:H1100))))</x:f>
      </x:c>
      <x:c r="I1101" s="88" t="str">
        <x:f>IF(C1101="","",MAX(0,ROUND(D1101+E1101-F1101-G1101-H1101,2)))</x:f>
      </x:c>
      <x:c r="J1101" s="88" t="str">
        <x:f>IF(C1101="","",F1101+G1101+H1101)</x:f>
      </x:c>
      <x:c r="K1101" s="88" t="str">
        <x:f>IF(C1101="","",MAX(0,SUMIFS(SONDERZAHLUNGEN!$E$9:$E$128,SONDERZAHLUNGEN!$B$9:$B$128,C1101,SONDERZAHLUNGEN!$C$9:$C$128,A1101,SONDERZAHLUNGEN!$H$9:$H$128,"OK",SONDERZAHLUNGEN!$F$9:$F$128,"Ja")-G1101))</x:f>
      </x:c>
    </x:row>
    <x:row r="1102" ht="19" customHeight="1">
      <x:c r="A1102" s="90" t="n">
        <x:f>MONATSBUDGET!$A$62</x:f>
        <x:v>47880</x:v>
      </x:c>
      <x:c r="B1102" t="n">
        <x:f>3</x:f>
        <x:v>3</x:v>
      </x:c>
      <x:c r="C1102" t="str">
        <x:f>IF($N$11="","",$N$11)</x:f>
      </x:c>
      <x:c r="D1102" s="88" t="str">
        <x:f>IF(C1102="","",I1082)</x:f>
      </x:c>
      <x:c r="E1102" s="88" t="str">
        <x:f>IF(C1102="","",ROUND(D1102*$P$11/12,2))</x:f>
      </x:c>
      <x:c r="F1102" s="88" t="str">
        <x:f>IF(C1102="","",MIN(D1102+E1102,$Q$11))</x:f>
      </x:c>
      <x:c r="G1102" s="88" t="str">
        <x:f>IF(C1102="","",MIN(MAX(0,D1102+E1102-F1102),SUMIFS(SONDERZAHLUNGEN!$E$9:$E$128,SONDERZAHLUNGEN!$B$9:$B$128,C1102,SONDERZAHLUNGEN!$C$9:$C$128,A1102,SONDERZAHLUNGEN!$H$9:$H$128,"OK",SONDERZAHLUNGEN!$F$9:$F$128,"Ja")))</x:f>
      </x:c>
      <x:c r="H1102" s="88" t="str">
        <x:f>IF(C1102="","",MIN(MAX(0,D1102+E1102-F1102-G1102),MAX(0,IF(MONATSBUDGET!$C$62="",0,MONATSBUDGET!$C$62)-SUM(F1100:F1119)-SUM(H1100:H1101))))</x:f>
      </x:c>
      <x:c r="I1102" s="88" t="str">
        <x:f>IF(C1102="","",MAX(0,ROUND(D1102+E1102-F1102-G1102-H1102,2)))</x:f>
      </x:c>
      <x:c r="J1102" s="88" t="str">
        <x:f>IF(C1102="","",F1102+G1102+H1102)</x:f>
      </x:c>
      <x:c r="K1102" s="88" t="str">
        <x:f>IF(C1102="","",MAX(0,SUMIFS(SONDERZAHLUNGEN!$E$9:$E$128,SONDERZAHLUNGEN!$B$9:$B$128,C1102,SONDERZAHLUNGEN!$C$9:$C$128,A1102,SONDERZAHLUNGEN!$H$9:$H$128,"OK",SONDERZAHLUNGEN!$F$9:$F$128,"Ja")-G1102))</x:f>
      </x:c>
    </x:row>
    <x:row r="1103" ht="19" customHeight="1">
      <x:c r="A1103" s="90" t="n">
        <x:f>MONATSBUDGET!$A$62</x:f>
        <x:v>47880</x:v>
      </x:c>
      <x:c r="B1103" t="n">
        <x:f>4</x:f>
        <x:v>4</x:v>
      </x:c>
      <x:c r="C1103" t="str">
        <x:f>IF($N$12="","",$N$12)</x:f>
      </x:c>
      <x:c r="D1103" s="88" t="str">
        <x:f>IF(C1103="","",I1083)</x:f>
      </x:c>
      <x:c r="E1103" s="88" t="str">
        <x:f>IF(C1103="","",ROUND(D1103*$P$12/12,2))</x:f>
      </x:c>
      <x:c r="F1103" s="88" t="str">
        <x:f>IF(C1103="","",MIN(D1103+E1103,$Q$12))</x:f>
      </x:c>
      <x:c r="G1103" s="88" t="str">
        <x:f>IF(C1103="","",MIN(MAX(0,D1103+E1103-F1103),SUMIFS(SONDERZAHLUNGEN!$E$9:$E$128,SONDERZAHLUNGEN!$B$9:$B$128,C1103,SONDERZAHLUNGEN!$C$9:$C$128,A1103,SONDERZAHLUNGEN!$H$9:$H$128,"OK",SONDERZAHLUNGEN!$F$9:$F$128,"Ja")))</x:f>
      </x:c>
      <x:c r="H1103" s="88" t="str">
        <x:f>IF(C1103="","",MIN(MAX(0,D1103+E1103-F1103-G1103),MAX(0,IF(MONATSBUDGET!$C$62="",0,MONATSBUDGET!$C$62)-SUM(F1100:F1119)-SUM(H1100:H1102))))</x:f>
      </x:c>
      <x:c r="I1103" s="88" t="str">
        <x:f>IF(C1103="","",MAX(0,ROUND(D1103+E1103-F1103-G1103-H1103,2)))</x:f>
      </x:c>
      <x:c r="J1103" s="88" t="str">
        <x:f>IF(C1103="","",F1103+G1103+H1103)</x:f>
      </x:c>
      <x:c r="K1103" s="88" t="str">
        <x:f>IF(C1103="","",MAX(0,SUMIFS(SONDERZAHLUNGEN!$E$9:$E$128,SONDERZAHLUNGEN!$B$9:$B$128,C1103,SONDERZAHLUNGEN!$C$9:$C$128,A1103,SONDERZAHLUNGEN!$H$9:$H$128,"OK",SONDERZAHLUNGEN!$F$9:$F$128,"Ja")-G1103))</x:f>
      </x:c>
    </x:row>
    <x:row r="1104" ht="19" customHeight="1">
      <x:c r="A1104" s="90" t="n">
        <x:f>MONATSBUDGET!$A$62</x:f>
        <x:v>47880</x:v>
      </x:c>
      <x:c r="B1104" t="n">
        <x:f>5</x:f>
        <x:v>5</x:v>
      </x:c>
      <x:c r="C1104" t="str">
        <x:f>IF($N$13="","",$N$13)</x:f>
      </x:c>
      <x:c r="D1104" s="88" t="str">
        <x:f>IF(C1104="","",I1084)</x:f>
      </x:c>
      <x:c r="E1104" s="88" t="str">
        <x:f>IF(C1104="","",ROUND(D1104*$P$13/12,2))</x:f>
      </x:c>
      <x:c r="F1104" s="88" t="str">
        <x:f>IF(C1104="","",MIN(D1104+E1104,$Q$13))</x:f>
      </x:c>
      <x:c r="G1104" s="88" t="str">
        <x:f>IF(C1104="","",MIN(MAX(0,D1104+E1104-F1104),SUMIFS(SONDERZAHLUNGEN!$E$9:$E$128,SONDERZAHLUNGEN!$B$9:$B$128,C1104,SONDERZAHLUNGEN!$C$9:$C$128,A1104,SONDERZAHLUNGEN!$H$9:$H$128,"OK",SONDERZAHLUNGEN!$F$9:$F$128,"Ja")))</x:f>
      </x:c>
      <x:c r="H1104" s="88" t="str">
        <x:f>IF(C1104="","",MIN(MAX(0,D1104+E1104-F1104-G1104),MAX(0,IF(MONATSBUDGET!$C$62="",0,MONATSBUDGET!$C$62)-SUM(F1100:F1119)-SUM(H1100:H1103))))</x:f>
      </x:c>
      <x:c r="I1104" s="88" t="str">
        <x:f>IF(C1104="","",MAX(0,ROUND(D1104+E1104-F1104-G1104-H1104,2)))</x:f>
      </x:c>
      <x:c r="J1104" s="88" t="str">
        <x:f>IF(C1104="","",F1104+G1104+H1104)</x:f>
      </x:c>
      <x:c r="K1104" s="88" t="str">
        <x:f>IF(C1104="","",MAX(0,SUMIFS(SONDERZAHLUNGEN!$E$9:$E$128,SONDERZAHLUNGEN!$B$9:$B$128,C1104,SONDERZAHLUNGEN!$C$9:$C$128,A1104,SONDERZAHLUNGEN!$H$9:$H$128,"OK",SONDERZAHLUNGEN!$F$9:$F$128,"Ja")-G1104))</x:f>
      </x:c>
    </x:row>
    <x:row r="1105" ht="19" customHeight="1">
      <x:c r="A1105" s="90" t="n">
        <x:f>MONATSBUDGET!$A$62</x:f>
        <x:v>47880</x:v>
      </x:c>
      <x:c r="B1105" t="n">
        <x:f>6</x:f>
        <x:v>6</x:v>
      </x:c>
      <x:c r="C1105" t="str">
        <x:f>IF($N$14="","",$N$14)</x:f>
      </x:c>
      <x:c r="D1105" s="88" t="str">
        <x:f>IF(C1105="","",I1085)</x:f>
      </x:c>
      <x:c r="E1105" s="88" t="str">
        <x:f>IF(C1105="","",ROUND(D1105*$P$14/12,2))</x:f>
      </x:c>
      <x:c r="F1105" s="88" t="str">
        <x:f>IF(C1105="","",MIN(D1105+E1105,$Q$14))</x:f>
      </x:c>
      <x:c r="G1105" s="88" t="str">
        <x:f>IF(C1105="","",MIN(MAX(0,D1105+E1105-F1105),SUMIFS(SONDERZAHLUNGEN!$E$9:$E$128,SONDERZAHLUNGEN!$B$9:$B$128,C1105,SONDERZAHLUNGEN!$C$9:$C$128,A1105,SONDERZAHLUNGEN!$H$9:$H$128,"OK",SONDERZAHLUNGEN!$F$9:$F$128,"Ja")))</x:f>
      </x:c>
      <x:c r="H1105" s="88" t="str">
        <x:f>IF(C1105="","",MIN(MAX(0,D1105+E1105-F1105-G1105),MAX(0,IF(MONATSBUDGET!$C$62="",0,MONATSBUDGET!$C$62)-SUM(F1100:F1119)-SUM(H1100:H1104))))</x:f>
      </x:c>
      <x:c r="I1105" s="88" t="str">
        <x:f>IF(C1105="","",MAX(0,ROUND(D1105+E1105-F1105-G1105-H1105,2)))</x:f>
      </x:c>
      <x:c r="J1105" s="88" t="str">
        <x:f>IF(C1105="","",F1105+G1105+H1105)</x:f>
      </x:c>
      <x:c r="K1105" s="88" t="str">
        <x:f>IF(C1105="","",MAX(0,SUMIFS(SONDERZAHLUNGEN!$E$9:$E$128,SONDERZAHLUNGEN!$B$9:$B$128,C1105,SONDERZAHLUNGEN!$C$9:$C$128,A1105,SONDERZAHLUNGEN!$H$9:$H$128,"OK",SONDERZAHLUNGEN!$F$9:$F$128,"Ja")-G1105))</x:f>
      </x:c>
    </x:row>
    <x:row r="1106" ht="19" customHeight="1">
      <x:c r="A1106" s="90" t="n">
        <x:f>MONATSBUDGET!$A$62</x:f>
        <x:v>47880</x:v>
      </x:c>
      <x:c r="B1106" t="n">
        <x:f>7</x:f>
        <x:v>7</x:v>
      </x:c>
      <x:c r="C1106" t="str">
        <x:f>IF($N$15="","",$N$15)</x:f>
      </x:c>
      <x:c r="D1106" s="88" t="str">
        <x:f>IF(C1106="","",I1086)</x:f>
      </x:c>
      <x:c r="E1106" s="88" t="str">
        <x:f>IF(C1106="","",ROUND(D1106*$P$15/12,2))</x:f>
      </x:c>
      <x:c r="F1106" s="88" t="str">
        <x:f>IF(C1106="","",MIN(D1106+E1106,$Q$15))</x:f>
      </x:c>
      <x:c r="G1106" s="88" t="str">
        <x:f>IF(C1106="","",MIN(MAX(0,D1106+E1106-F1106),SUMIFS(SONDERZAHLUNGEN!$E$9:$E$128,SONDERZAHLUNGEN!$B$9:$B$128,C1106,SONDERZAHLUNGEN!$C$9:$C$128,A1106,SONDERZAHLUNGEN!$H$9:$H$128,"OK",SONDERZAHLUNGEN!$F$9:$F$128,"Ja")))</x:f>
      </x:c>
      <x:c r="H1106" s="88" t="str">
        <x:f>IF(C1106="","",MIN(MAX(0,D1106+E1106-F1106-G1106),MAX(0,IF(MONATSBUDGET!$C$62="",0,MONATSBUDGET!$C$62)-SUM(F1100:F1119)-SUM(H1100:H1105))))</x:f>
      </x:c>
      <x:c r="I1106" s="88" t="str">
        <x:f>IF(C1106="","",MAX(0,ROUND(D1106+E1106-F1106-G1106-H1106,2)))</x:f>
      </x:c>
      <x:c r="J1106" s="88" t="str">
        <x:f>IF(C1106="","",F1106+G1106+H1106)</x:f>
      </x:c>
      <x:c r="K1106" s="88" t="str">
        <x:f>IF(C1106="","",MAX(0,SUMIFS(SONDERZAHLUNGEN!$E$9:$E$128,SONDERZAHLUNGEN!$B$9:$B$128,C1106,SONDERZAHLUNGEN!$C$9:$C$128,A1106,SONDERZAHLUNGEN!$H$9:$H$128,"OK",SONDERZAHLUNGEN!$F$9:$F$128,"Ja")-G1106))</x:f>
      </x:c>
    </x:row>
    <x:row r="1107" ht="19" customHeight="1">
      <x:c r="A1107" s="90" t="n">
        <x:f>MONATSBUDGET!$A$62</x:f>
        <x:v>47880</x:v>
      </x:c>
      <x:c r="B1107" t="n">
        <x:f>8</x:f>
        <x:v>8</x:v>
      </x:c>
      <x:c r="C1107" t="str">
        <x:f>IF($N$16="","",$N$16)</x:f>
      </x:c>
      <x:c r="D1107" s="88" t="str">
        <x:f>IF(C1107="","",I1087)</x:f>
      </x:c>
      <x:c r="E1107" s="88" t="str">
        <x:f>IF(C1107="","",ROUND(D1107*$P$16/12,2))</x:f>
      </x:c>
      <x:c r="F1107" s="88" t="str">
        <x:f>IF(C1107="","",MIN(D1107+E1107,$Q$16))</x:f>
      </x:c>
      <x:c r="G1107" s="88" t="str">
        <x:f>IF(C1107="","",MIN(MAX(0,D1107+E1107-F1107),SUMIFS(SONDERZAHLUNGEN!$E$9:$E$128,SONDERZAHLUNGEN!$B$9:$B$128,C1107,SONDERZAHLUNGEN!$C$9:$C$128,A1107,SONDERZAHLUNGEN!$H$9:$H$128,"OK",SONDERZAHLUNGEN!$F$9:$F$128,"Ja")))</x:f>
      </x:c>
      <x:c r="H1107" s="88" t="str">
        <x:f>IF(C1107="","",MIN(MAX(0,D1107+E1107-F1107-G1107),MAX(0,IF(MONATSBUDGET!$C$62="",0,MONATSBUDGET!$C$62)-SUM(F1100:F1119)-SUM(H1100:H1106))))</x:f>
      </x:c>
      <x:c r="I1107" s="88" t="str">
        <x:f>IF(C1107="","",MAX(0,ROUND(D1107+E1107-F1107-G1107-H1107,2)))</x:f>
      </x:c>
      <x:c r="J1107" s="88" t="str">
        <x:f>IF(C1107="","",F1107+G1107+H1107)</x:f>
      </x:c>
      <x:c r="K1107" s="88" t="str">
        <x:f>IF(C1107="","",MAX(0,SUMIFS(SONDERZAHLUNGEN!$E$9:$E$128,SONDERZAHLUNGEN!$B$9:$B$128,C1107,SONDERZAHLUNGEN!$C$9:$C$128,A1107,SONDERZAHLUNGEN!$H$9:$H$128,"OK",SONDERZAHLUNGEN!$F$9:$F$128,"Ja")-G1107))</x:f>
      </x:c>
    </x:row>
    <x:row r="1108" ht="19" customHeight="1">
      <x:c r="A1108" s="90" t="n">
        <x:f>MONATSBUDGET!$A$62</x:f>
        <x:v>47880</x:v>
      </x:c>
      <x:c r="B1108" t="n">
        <x:f>9</x:f>
        <x:v>9</x:v>
      </x:c>
      <x:c r="C1108" t="str">
        <x:f>IF($N$17="","",$N$17)</x:f>
      </x:c>
      <x:c r="D1108" s="88" t="str">
        <x:f>IF(C1108="","",I1088)</x:f>
      </x:c>
      <x:c r="E1108" s="88" t="str">
        <x:f>IF(C1108="","",ROUND(D1108*$P$17/12,2))</x:f>
      </x:c>
      <x:c r="F1108" s="88" t="str">
        <x:f>IF(C1108="","",MIN(D1108+E1108,$Q$17))</x:f>
      </x:c>
      <x:c r="G1108" s="88" t="str">
        <x:f>IF(C1108="","",MIN(MAX(0,D1108+E1108-F1108),SUMIFS(SONDERZAHLUNGEN!$E$9:$E$128,SONDERZAHLUNGEN!$B$9:$B$128,C1108,SONDERZAHLUNGEN!$C$9:$C$128,A1108,SONDERZAHLUNGEN!$H$9:$H$128,"OK",SONDERZAHLUNGEN!$F$9:$F$128,"Ja")))</x:f>
      </x:c>
      <x:c r="H1108" s="88" t="str">
        <x:f>IF(C1108="","",MIN(MAX(0,D1108+E1108-F1108-G1108),MAX(0,IF(MONATSBUDGET!$C$62="",0,MONATSBUDGET!$C$62)-SUM(F1100:F1119)-SUM(H1100:H1107))))</x:f>
      </x:c>
      <x:c r="I1108" s="88" t="str">
        <x:f>IF(C1108="","",MAX(0,ROUND(D1108+E1108-F1108-G1108-H1108,2)))</x:f>
      </x:c>
      <x:c r="J1108" s="88" t="str">
        <x:f>IF(C1108="","",F1108+G1108+H1108)</x:f>
      </x:c>
      <x:c r="K1108" s="88" t="str">
        <x:f>IF(C1108="","",MAX(0,SUMIFS(SONDERZAHLUNGEN!$E$9:$E$128,SONDERZAHLUNGEN!$B$9:$B$128,C1108,SONDERZAHLUNGEN!$C$9:$C$128,A1108,SONDERZAHLUNGEN!$H$9:$H$128,"OK",SONDERZAHLUNGEN!$F$9:$F$128,"Ja")-G1108))</x:f>
      </x:c>
    </x:row>
    <x:row r="1109" ht="19" customHeight="1">
      <x:c r="A1109" s="90" t="n">
        <x:f>MONATSBUDGET!$A$62</x:f>
        <x:v>47880</x:v>
      </x:c>
      <x:c r="B1109" t="n">
        <x:f>10</x:f>
        <x:v>10</x:v>
      </x:c>
      <x:c r="C1109" t="str">
        <x:f>IF($N$18="","",$N$18)</x:f>
      </x:c>
      <x:c r="D1109" s="88" t="str">
        <x:f>IF(C1109="","",I1089)</x:f>
      </x:c>
      <x:c r="E1109" s="88" t="str">
        <x:f>IF(C1109="","",ROUND(D1109*$P$18/12,2))</x:f>
      </x:c>
      <x:c r="F1109" s="88" t="str">
        <x:f>IF(C1109="","",MIN(D1109+E1109,$Q$18))</x:f>
      </x:c>
      <x:c r="G1109" s="88" t="str">
        <x:f>IF(C1109="","",MIN(MAX(0,D1109+E1109-F1109),SUMIFS(SONDERZAHLUNGEN!$E$9:$E$128,SONDERZAHLUNGEN!$B$9:$B$128,C1109,SONDERZAHLUNGEN!$C$9:$C$128,A1109,SONDERZAHLUNGEN!$H$9:$H$128,"OK",SONDERZAHLUNGEN!$F$9:$F$128,"Ja")))</x:f>
      </x:c>
      <x:c r="H1109" s="88" t="str">
        <x:f>IF(C1109="","",MIN(MAX(0,D1109+E1109-F1109-G1109),MAX(0,IF(MONATSBUDGET!$C$62="",0,MONATSBUDGET!$C$62)-SUM(F1100:F1119)-SUM(H1100:H1108))))</x:f>
      </x:c>
      <x:c r="I1109" s="88" t="str">
        <x:f>IF(C1109="","",MAX(0,ROUND(D1109+E1109-F1109-G1109-H1109,2)))</x:f>
      </x:c>
      <x:c r="J1109" s="88" t="str">
        <x:f>IF(C1109="","",F1109+G1109+H1109)</x:f>
      </x:c>
      <x:c r="K1109" s="88" t="str">
        <x:f>IF(C1109="","",MAX(0,SUMIFS(SONDERZAHLUNGEN!$E$9:$E$128,SONDERZAHLUNGEN!$B$9:$B$128,C1109,SONDERZAHLUNGEN!$C$9:$C$128,A1109,SONDERZAHLUNGEN!$H$9:$H$128,"OK",SONDERZAHLUNGEN!$F$9:$F$128,"Ja")-G1109))</x:f>
      </x:c>
    </x:row>
    <x:row r="1110" ht="19" customHeight="1">
      <x:c r="A1110" s="90" t="n">
        <x:f>MONATSBUDGET!$A$62</x:f>
        <x:v>47880</x:v>
      </x:c>
      <x:c r="B1110" t="n">
        <x:f>11</x:f>
        <x:v>11</x:v>
      </x:c>
      <x:c r="C1110" t="str">
        <x:f>IF($N$19="","",$N$19)</x:f>
      </x:c>
      <x:c r="D1110" s="88" t="str">
        <x:f>IF(C1110="","",I1090)</x:f>
      </x:c>
      <x:c r="E1110" s="88" t="str">
        <x:f>IF(C1110="","",ROUND(D1110*$P$19/12,2))</x:f>
      </x:c>
      <x:c r="F1110" s="88" t="str">
        <x:f>IF(C1110="","",MIN(D1110+E1110,$Q$19))</x:f>
      </x:c>
      <x:c r="G1110" s="88" t="str">
        <x:f>IF(C1110="","",MIN(MAX(0,D1110+E1110-F1110),SUMIFS(SONDERZAHLUNGEN!$E$9:$E$128,SONDERZAHLUNGEN!$B$9:$B$128,C1110,SONDERZAHLUNGEN!$C$9:$C$128,A1110,SONDERZAHLUNGEN!$H$9:$H$128,"OK",SONDERZAHLUNGEN!$F$9:$F$128,"Ja")))</x:f>
      </x:c>
      <x:c r="H1110" s="88" t="str">
        <x:f>IF(C1110="","",MIN(MAX(0,D1110+E1110-F1110-G1110),MAX(0,IF(MONATSBUDGET!$C$62="",0,MONATSBUDGET!$C$62)-SUM(F1100:F1119)-SUM(H1100:H1109))))</x:f>
      </x:c>
      <x:c r="I1110" s="88" t="str">
        <x:f>IF(C1110="","",MAX(0,ROUND(D1110+E1110-F1110-G1110-H1110,2)))</x:f>
      </x:c>
      <x:c r="J1110" s="88" t="str">
        <x:f>IF(C1110="","",F1110+G1110+H1110)</x:f>
      </x:c>
      <x:c r="K1110" s="88" t="str">
        <x:f>IF(C1110="","",MAX(0,SUMIFS(SONDERZAHLUNGEN!$E$9:$E$128,SONDERZAHLUNGEN!$B$9:$B$128,C1110,SONDERZAHLUNGEN!$C$9:$C$128,A1110,SONDERZAHLUNGEN!$H$9:$H$128,"OK",SONDERZAHLUNGEN!$F$9:$F$128,"Ja")-G1110))</x:f>
      </x:c>
    </x:row>
    <x:row r="1111" ht="19" customHeight="1">
      <x:c r="A1111" s="90" t="n">
        <x:f>MONATSBUDGET!$A$62</x:f>
        <x:v>47880</x:v>
      </x:c>
      <x:c r="B1111" t="n">
        <x:f>12</x:f>
        <x:v>12</x:v>
      </x:c>
      <x:c r="C1111" t="str">
        <x:f>IF($N$20="","",$N$20)</x:f>
      </x:c>
      <x:c r="D1111" s="88" t="str">
        <x:f>IF(C1111="","",I1091)</x:f>
      </x:c>
      <x:c r="E1111" s="88" t="str">
        <x:f>IF(C1111="","",ROUND(D1111*$P$20/12,2))</x:f>
      </x:c>
      <x:c r="F1111" s="88" t="str">
        <x:f>IF(C1111="","",MIN(D1111+E1111,$Q$20))</x:f>
      </x:c>
      <x:c r="G1111" s="88" t="str">
        <x:f>IF(C1111="","",MIN(MAX(0,D1111+E1111-F1111),SUMIFS(SONDERZAHLUNGEN!$E$9:$E$128,SONDERZAHLUNGEN!$B$9:$B$128,C1111,SONDERZAHLUNGEN!$C$9:$C$128,A1111,SONDERZAHLUNGEN!$H$9:$H$128,"OK",SONDERZAHLUNGEN!$F$9:$F$128,"Ja")))</x:f>
      </x:c>
      <x:c r="H1111" s="88" t="str">
        <x:f>IF(C1111="","",MIN(MAX(0,D1111+E1111-F1111-G1111),MAX(0,IF(MONATSBUDGET!$C$62="",0,MONATSBUDGET!$C$62)-SUM(F1100:F1119)-SUM(H1100:H1110))))</x:f>
      </x:c>
      <x:c r="I1111" s="88" t="str">
        <x:f>IF(C1111="","",MAX(0,ROUND(D1111+E1111-F1111-G1111-H1111,2)))</x:f>
      </x:c>
      <x:c r="J1111" s="88" t="str">
        <x:f>IF(C1111="","",F1111+G1111+H1111)</x:f>
      </x:c>
      <x:c r="K1111" s="88" t="str">
        <x:f>IF(C1111="","",MAX(0,SUMIFS(SONDERZAHLUNGEN!$E$9:$E$128,SONDERZAHLUNGEN!$B$9:$B$128,C1111,SONDERZAHLUNGEN!$C$9:$C$128,A1111,SONDERZAHLUNGEN!$H$9:$H$128,"OK",SONDERZAHLUNGEN!$F$9:$F$128,"Ja")-G1111))</x:f>
      </x:c>
    </x:row>
    <x:row r="1112" ht="19" customHeight="1">
      <x:c r="A1112" s="90" t="n">
        <x:f>MONATSBUDGET!$A$62</x:f>
        <x:v>47880</x:v>
      </x:c>
      <x:c r="B1112" t="n">
        <x:f>13</x:f>
        <x:v>13</x:v>
      </x:c>
      <x:c r="C1112" t="str">
        <x:f>IF($N$21="","",$N$21)</x:f>
      </x:c>
      <x:c r="D1112" s="88" t="str">
        <x:f>IF(C1112="","",I1092)</x:f>
      </x:c>
      <x:c r="E1112" s="88" t="str">
        <x:f>IF(C1112="","",ROUND(D1112*$P$21/12,2))</x:f>
      </x:c>
      <x:c r="F1112" s="88" t="str">
        <x:f>IF(C1112="","",MIN(D1112+E1112,$Q$21))</x:f>
      </x:c>
      <x:c r="G1112" s="88" t="str">
        <x:f>IF(C1112="","",MIN(MAX(0,D1112+E1112-F1112),SUMIFS(SONDERZAHLUNGEN!$E$9:$E$128,SONDERZAHLUNGEN!$B$9:$B$128,C1112,SONDERZAHLUNGEN!$C$9:$C$128,A1112,SONDERZAHLUNGEN!$H$9:$H$128,"OK",SONDERZAHLUNGEN!$F$9:$F$128,"Ja")))</x:f>
      </x:c>
      <x:c r="H1112" s="88" t="str">
        <x:f>IF(C1112="","",MIN(MAX(0,D1112+E1112-F1112-G1112),MAX(0,IF(MONATSBUDGET!$C$62="",0,MONATSBUDGET!$C$62)-SUM(F1100:F1119)-SUM(H1100:H1111))))</x:f>
      </x:c>
      <x:c r="I1112" s="88" t="str">
        <x:f>IF(C1112="","",MAX(0,ROUND(D1112+E1112-F1112-G1112-H1112,2)))</x:f>
      </x:c>
      <x:c r="J1112" s="88" t="str">
        <x:f>IF(C1112="","",F1112+G1112+H1112)</x:f>
      </x:c>
      <x:c r="K1112" s="88" t="str">
        <x:f>IF(C1112="","",MAX(0,SUMIFS(SONDERZAHLUNGEN!$E$9:$E$128,SONDERZAHLUNGEN!$B$9:$B$128,C1112,SONDERZAHLUNGEN!$C$9:$C$128,A1112,SONDERZAHLUNGEN!$H$9:$H$128,"OK",SONDERZAHLUNGEN!$F$9:$F$128,"Ja")-G1112))</x:f>
      </x:c>
    </x:row>
    <x:row r="1113" ht="19" customHeight="1">
      <x:c r="A1113" s="90" t="n">
        <x:f>MONATSBUDGET!$A$62</x:f>
        <x:v>47880</x:v>
      </x:c>
      <x:c r="B1113" t="n">
        <x:f>14</x:f>
        <x:v>14</x:v>
      </x:c>
      <x:c r="C1113" t="str">
        <x:f>IF($N$22="","",$N$22)</x:f>
      </x:c>
      <x:c r="D1113" s="88" t="str">
        <x:f>IF(C1113="","",I1093)</x:f>
      </x:c>
      <x:c r="E1113" s="88" t="str">
        <x:f>IF(C1113="","",ROUND(D1113*$P$22/12,2))</x:f>
      </x:c>
      <x:c r="F1113" s="88" t="str">
        <x:f>IF(C1113="","",MIN(D1113+E1113,$Q$22))</x:f>
      </x:c>
      <x:c r="G1113" s="88" t="str">
        <x:f>IF(C1113="","",MIN(MAX(0,D1113+E1113-F1113),SUMIFS(SONDERZAHLUNGEN!$E$9:$E$128,SONDERZAHLUNGEN!$B$9:$B$128,C1113,SONDERZAHLUNGEN!$C$9:$C$128,A1113,SONDERZAHLUNGEN!$H$9:$H$128,"OK",SONDERZAHLUNGEN!$F$9:$F$128,"Ja")))</x:f>
      </x:c>
      <x:c r="H1113" s="88" t="str">
        <x:f>IF(C1113="","",MIN(MAX(0,D1113+E1113-F1113-G1113),MAX(0,IF(MONATSBUDGET!$C$62="",0,MONATSBUDGET!$C$62)-SUM(F1100:F1119)-SUM(H1100:H1112))))</x:f>
      </x:c>
      <x:c r="I1113" s="88" t="str">
        <x:f>IF(C1113="","",MAX(0,ROUND(D1113+E1113-F1113-G1113-H1113,2)))</x:f>
      </x:c>
      <x:c r="J1113" s="88" t="str">
        <x:f>IF(C1113="","",F1113+G1113+H1113)</x:f>
      </x:c>
      <x:c r="K1113" s="88" t="str">
        <x:f>IF(C1113="","",MAX(0,SUMIFS(SONDERZAHLUNGEN!$E$9:$E$128,SONDERZAHLUNGEN!$B$9:$B$128,C1113,SONDERZAHLUNGEN!$C$9:$C$128,A1113,SONDERZAHLUNGEN!$H$9:$H$128,"OK",SONDERZAHLUNGEN!$F$9:$F$128,"Ja")-G1113))</x:f>
      </x:c>
    </x:row>
    <x:row r="1114" ht="19" customHeight="1">
      <x:c r="A1114" s="90" t="n">
        <x:f>MONATSBUDGET!$A$62</x:f>
        <x:v>47880</x:v>
      </x:c>
      <x:c r="B1114" t="n">
        <x:f>15</x:f>
        <x:v>15</x:v>
      </x:c>
      <x:c r="C1114" t="str">
        <x:f>IF($N$23="","",$N$23)</x:f>
      </x:c>
      <x:c r="D1114" s="88" t="str">
        <x:f>IF(C1114="","",I1094)</x:f>
      </x:c>
      <x:c r="E1114" s="88" t="str">
        <x:f>IF(C1114="","",ROUND(D1114*$P$23/12,2))</x:f>
      </x:c>
      <x:c r="F1114" s="88" t="str">
        <x:f>IF(C1114="","",MIN(D1114+E1114,$Q$23))</x:f>
      </x:c>
      <x:c r="G1114" s="88" t="str">
        <x:f>IF(C1114="","",MIN(MAX(0,D1114+E1114-F1114),SUMIFS(SONDERZAHLUNGEN!$E$9:$E$128,SONDERZAHLUNGEN!$B$9:$B$128,C1114,SONDERZAHLUNGEN!$C$9:$C$128,A1114,SONDERZAHLUNGEN!$H$9:$H$128,"OK",SONDERZAHLUNGEN!$F$9:$F$128,"Ja")))</x:f>
      </x:c>
      <x:c r="H1114" s="88" t="str">
        <x:f>IF(C1114="","",MIN(MAX(0,D1114+E1114-F1114-G1114),MAX(0,IF(MONATSBUDGET!$C$62="",0,MONATSBUDGET!$C$62)-SUM(F1100:F1119)-SUM(H1100:H1113))))</x:f>
      </x:c>
      <x:c r="I1114" s="88" t="str">
        <x:f>IF(C1114="","",MAX(0,ROUND(D1114+E1114-F1114-G1114-H1114,2)))</x:f>
      </x:c>
      <x:c r="J1114" s="88" t="str">
        <x:f>IF(C1114="","",F1114+G1114+H1114)</x:f>
      </x:c>
      <x:c r="K1114" s="88" t="str">
        <x:f>IF(C1114="","",MAX(0,SUMIFS(SONDERZAHLUNGEN!$E$9:$E$128,SONDERZAHLUNGEN!$B$9:$B$128,C1114,SONDERZAHLUNGEN!$C$9:$C$128,A1114,SONDERZAHLUNGEN!$H$9:$H$128,"OK",SONDERZAHLUNGEN!$F$9:$F$128,"Ja")-G1114))</x:f>
      </x:c>
    </x:row>
    <x:row r="1115" ht="19" customHeight="1">
      <x:c r="A1115" s="90" t="n">
        <x:f>MONATSBUDGET!$A$62</x:f>
        <x:v>47880</x:v>
      </x:c>
      <x:c r="B1115" t="n">
        <x:f>16</x:f>
        <x:v>16</x:v>
      </x:c>
      <x:c r="C1115" t="str">
        <x:f>IF($N$24="","",$N$24)</x:f>
      </x:c>
      <x:c r="D1115" s="88" t="str">
        <x:f>IF(C1115="","",I1095)</x:f>
      </x:c>
      <x:c r="E1115" s="88" t="str">
        <x:f>IF(C1115="","",ROUND(D1115*$P$24/12,2))</x:f>
      </x:c>
      <x:c r="F1115" s="88" t="str">
        <x:f>IF(C1115="","",MIN(D1115+E1115,$Q$24))</x:f>
      </x:c>
      <x:c r="G1115" s="88" t="str">
        <x:f>IF(C1115="","",MIN(MAX(0,D1115+E1115-F1115),SUMIFS(SONDERZAHLUNGEN!$E$9:$E$128,SONDERZAHLUNGEN!$B$9:$B$128,C1115,SONDERZAHLUNGEN!$C$9:$C$128,A1115,SONDERZAHLUNGEN!$H$9:$H$128,"OK",SONDERZAHLUNGEN!$F$9:$F$128,"Ja")))</x:f>
      </x:c>
      <x:c r="H1115" s="88" t="str">
        <x:f>IF(C1115="","",MIN(MAX(0,D1115+E1115-F1115-G1115),MAX(0,IF(MONATSBUDGET!$C$62="",0,MONATSBUDGET!$C$62)-SUM(F1100:F1119)-SUM(H1100:H1114))))</x:f>
      </x:c>
      <x:c r="I1115" s="88" t="str">
        <x:f>IF(C1115="","",MAX(0,ROUND(D1115+E1115-F1115-G1115-H1115,2)))</x:f>
      </x:c>
      <x:c r="J1115" s="88" t="str">
        <x:f>IF(C1115="","",F1115+G1115+H1115)</x:f>
      </x:c>
      <x:c r="K1115" s="88" t="str">
        <x:f>IF(C1115="","",MAX(0,SUMIFS(SONDERZAHLUNGEN!$E$9:$E$128,SONDERZAHLUNGEN!$B$9:$B$128,C1115,SONDERZAHLUNGEN!$C$9:$C$128,A1115,SONDERZAHLUNGEN!$H$9:$H$128,"OK",SONDERZAHLUNGEN!$F$9:$F$128,"Ja")-G1115))</x:f>
      </x:c>
    </x:row>
    <x:row r="1116" ht="19" customHeight="1">
      <x:c r="A1116" s="90" t="n">
        <x:f>MONATSBUDGET!$A$62</x:f>
        <x:v>47880</x:v>
      </x:c>
      <x:c r="B1116" t="n">
        <x:f>17</x:f>
        <x:v>17</x:v>
      </x:c>
      <x:c r="C1116" t="str">
        <x:f>IF($N$25="","",$N$25)</x:f>
      </x:c>
      <x:c r="D1116" s="88" t="str">
        <x:f>IF(C1116="","",I1096)</x:f>
      </x:c>
      <x:c r="E1116" s="88" t="str">
        <x:f>IF(C1116="","",ROUND(D1116*$P$25/12,2))</x:f>
      </x:c>
      <x:c r="F1116" s="88" t="str">
        <x:f>IF(C1116="","",MIN(D1116+E1116,$Q$25))</x:f>
      </x:c>
      <x:c r="G1116" s="88" t="str">
        <x:f>IF(C1116="","",MIN(MAX(0,D1116+E1116-F1116),SUMIFS(SONDERZAHLUNGEN!$E$9:$E$128,SONDERZAHLUNGEN!$B$9:$B$128,C1116,SONDERZAHLUNGEN!$C$9:$C$128,A1116,SONDERZAHLUNGEN!$H$9:$H$128,"OK",SONDERZAHLUNGEN!$F$9:$F$128,"Ja")))</x:f>
      </x:c>
      <x:c r="H1116" s="88" t="str">
        <x:f>IF(C1116="","",MIN(MAX(0,D1116+E1116-F1116-G1116),MAX(0,IF(MONATSBUDGET!$C$62="",0,MONATSBUDGET!$C$62)-SUM(F1100:F1119)-SUM(H1100:H1115))))</x:f>
      </x:c>
      <x:c r="I1116" s="88" t="str">
        <x:f>IF(C1116="","",MAX(0,ROUND(D1116+E1116-F1116-G1116-H1116,2)))</x:f>
      </x:c>
      <x:c r="J1116" s="88" t="str">
        <x:f>IF(C1116="","",F1116+G1116+H1116)</x:f>
      </x:c>
      <x:c r="K1116" s="88" t="str">
        <x:f>IF(C1116="","",MAX(0,SUMIFS(SONDERZAHLUNGEN!$E$9:$E$128,SONDERZAHLUNGEN!$B$9:$B$128,C1116,SONDERZAHLUNGEN!$C$9:$C$128,A1116,SONDERZAHLUNGEN!$H$9:$H$128,"OK",SONDERZAHLUNGEN!$F$9:$F$128,"Ja")-G1116))</x:f>
      </x:c>
    </x:row>
    <x:row r="1117" ht="19" customHeight="1">
      <x:c r="A1117" s="90" t="n">
        <x:f>MONATSBUDGET!$A$62</x:f>
        <x:v>47880</x:v>
      </x:c>
      <x:c r="B1117" t="n">
        <x:f>18</x:f>
        <x:v>18</x:v>
      </x:c>
      <x:c r="C1117" t="str">
        <x:f>IF($N$26="","",$N$26)</x:f>
      </x:c>
      <x:c r="D1117" s="88" t="str">
        <x:f>IF(C1117="","",I1097)</x:f>
      </x:c>
      <x:c r="E1117" s="88" t="str">
        <x:f>IF(C1117="","",ROUND(D1117*$P$26/12,2))</x:f>
      </x:c>
      <x:c r="F1117" s="88" t="str">
        <x:f>IF(C1117="","",MIN(D1117+E1117,$Q$26))</x:f>
      </x:c>
      <x:c r="G1117" s="88" t="str">
        <x:f>IF(C1117="","",MIN(MAX(0,D1117+E1117-F1117),SUMIFS(SONDERZAHLUNGEN!$E$9:$E$128,SONDERZAHLUNGEN!$B$9:$B$128,C1117,SONDERZAHLUNGEN!$C$9:$C$128,A1117,SONDERZAHLUNGEN!$H$9:$H$128,"OK",SONDERZAHLUNGEN!$F$9:$F$128,"Ja")))</x:f>
      </x:c>
      <x:c r="H1117" s="88" t="str">
        <x:f>IF(C1117="","",MIN(MAX(0,D1117+E1117-F1117-G1117),MAX(0,IF(MONATSBUDGET!$C$62="",0,MONATSBUDGET!$C$62)-SUM(F1100:F1119)-SUM(H1100:H1116))))</x:f>
      </x:c>
      <x:c r="I1117" s="88" t="str">
        <x:f>IF(C1117="","",MAX(0,ROUND(D1117+E1117-F1117-G1117-H1117,2)))</x:f>
      </x:c>
      <x:c r="J1117" s="88" t="str">
        <x:f>IF(C1117="","",F1117+G1117+H1117)</x:f>
      </x:c>
      <x:c r="K1117" s="88" t="str">
        <x:f>IF(C1117="","",MAX(0,SUMIFS(SONDERZAHLUNGEN!$E$9:$E$128,SONDERZAHLUNGEN!$B$9:$B$128,C1117,SONDERZAHLUNGEN!$C$9:$C$128,A1117,SONDERZAHLUNGEN!$H$9:$H$128,"OK",SONDERZAHLUNGEN!$F$9:$F$128,"Ja")-G1117))</x:f>
      </x:c>
    </x:row>
    <x:row r="1118" ht="19" customHeight="1">
      <x:c r="A1118" s="90" t="n">
        <x:f>MONATSBUDGET!$A$62</x:f>
        <x:v>47880</x:v>
      </x:c>
      <x:c r="B1118" t="n">
        <x:f>19</x:f>
        <x:v>19</x:v>
      </x:c>
      <x:c r="C1118" t="str">
        <x:f>IF($N$27="","",$N$27)</x:f>
      </x:c>
      <x:c r="D1118" s="88" t="str">
        <x:f>IF(C1118="","",I1098)</x:f>
      </x:c>
      <x:c r="E1118" s="88" t="str">
        <x:f>IF(C1118="","",ROUND(D1118*$P$27/12,2))</x:f>
      </x:c>
      <x:c r="F1118" s="88" t="str">
        <x:f>IF(C1118="","",MIN(D1118+E1118,$Q$27))</x:f>
      </x:c>
      <x:c r="G1118" s="88" t="str">
        <x:f>IF(C1118="","",MIN(MAX(0,D1118+E1118-F1118),SUMIFS(SONDERZAHLUNGEN!$E$9:$E$128,SONDERZAHLUNGEN!$B$9:$B$128,C1118,SONDERZAHLUNGEN!$C$9:$C$128,A1118,SONDERZAHLUNGEN!$H$9:$H$128,"OK",SONDERZAHLUNGEN!$F$9:$F$128,"Ja")))</x:f>
      </x:c>
      <x:c r="H1118" s="88" t="str">
        <x:f>IF(C1118="","",MIN(MAX(0,D1118+E1118-F1118-G1118),MAX(0,IF(MONATSBUDGET!$C$62="",0,MONATSBUDGET!$C$62)-SUM(F1100:F1119)-SUM(H1100:H1117))))</x:f>
      </x:c>
      <x:c r="I1118" s="88" t="str">
        <x:f>IF(C1118="","",MAX(0,ROUND(D1118+E1118-F1118-G1118-H1118,2)))</x:f>
      </x:c>
      <x:c r="J1118" s="88" t="str">
        <x:f>IF(C1118="","",F1118+G1118+H1118)</x:f>
      </x:c>
      <x:c r="K1118" s="88" t="str">
        <x:f>IF(C1118="","",MAX(0,SUMIFS(SONDERZAHLUNGEN!$E$9:$E$128,SONDERZAHLUNGEN!$B$9:$B$128,C1118,SONDERZAHLUNGEN!$C$9:$C$128,A1118,SONDERZAHLUNGEN!$H$9:$H$128,"OK",SONDERZAHLUNGEN!$F$9:$F$128,"Ja")-G1118))</x:f>
      </x:c>
    </x:row>
    <x:row r="1119" ht="19" customHeight="1">
      <x:c r="A1119" s="90" t="n">
        <x:f>MONATSBUDGET!$A$62</x:f>
        <x:v>47880</x:v>
      </x:c>
      <x:c r="B1119" t="n">
        <x:f>20</x:f>
        <x:v>20</x:v>
      </x:c>
      <x:c r="C1119" t="str">
        <x:f>IF($N$28="","",$N$28)</x:f>
      </x:c>
      <x:c r="D1119" s="88" t="str">
        <x:f>IF(C1119="","",I1099)</x:f>
      </x:c>
      <x:c r="E1119" s="88" t="str">
        <x:f>IF(C1119="","",ROUND(D1119*$P$28/12,2))</x:f>
      </x:c>
      <x:c r="F1119" s="88" t="str">
        <x:f>IF(C1119="","",MIN(D1119+E1119,$Q$28))</x:f>
      </x:c>
      <x:c r="G1119" s="88" t="str">
        <x:f>IF(C1119="","",MIN(MAX(0,D1119+E1119-F1119),SUMIFS(SONDERZAHLUNGEN!$E$9:$E$128,SONDERZAHLUNGEN!$B$9:$B$128,C1119,SONDERZAHLUNGEN!$C$9:$C$128,A1119,SONDERZAHLUNGEN!$H$9:$H$128,"OK",SONDERZAHLUNGEN!$F$9:$F$128,"Ja")))</x:f>
      </x:c>
      <x:c r="H1119" s="88" t="str">
        <x:f>IF(C1119="","",MIN(MAX(0,D1119+E1119-F1119-G1119),MAX(0,IF(MONATSBUDGET!$C$62="",0,MONATSBUDGET!$C$62)-SUM(F1100:F1119)-SUM(H1100:H1118))))</x:f>
      </x:c>
      <x:c r="I1119" s="88" t="str">
        <x:f>IF(C1119="","",MAX(0,ROUND(D1119+E1119-F1119-G1119-H1119,2)))</x:f>
      </x:c>
      <x:c r="J1119" s="88" t="str">
        <x:f>IF(C1119="","",F1119+G1119+H1119)</x:f>
      </x:c>
      <x:c r="K1119" s="88" t="str">
        <x:f>IF(C1119="","",MAX(0,SUMIFS(SONDERZAHLUNGEN!$E$9:$E$128,SONDERZAHLUNGEN!$B$9:$B$128,C1119,SONDERZAHLUNGEN!$C$9:$C$128,A1119,SONDERZAHLUNGEN!$H$9:$H$128,"OK",SONDERZAHLUNGEN!$F$9:$F$128,"Ja")-G1119))</x:f>
      </x:c>
    </x:row>
    <x:row r="1120" ht="19" customHeight="1">
      <x:c r="A1120" s="90" t="n">
        <x:f>MONATSBUDGET!$A$63</x:f>
        <x:v>47908</x:v>
      </x:c>
      <x:c r="B1120" t="n">
        <x:f>1</x:f>
        <x:v>1</x:v>
      </x:c>
      <x:c r="C1120" t="str">
        <x:f>IF($N$9="","",$N$9)</x:f>
      </x:c>
      <x:c r="D1120" s="88" t="str">
        <x:f>IF(C1120="","",I1100)</x:f>
      </x:c>
      <x:c r="E1120" s="88" t="str">
        <x:f>IF(C1120="","",ROUND(D1120*$P$9/12,2))</x:f>
      </x:c>
      <x:c r="F1120" s="88" t="str">
        <x:f>IF(C1120="","",MIN(D1120+E1120,$Q$9))</x:f>
      </x:c>
      <x:c r="G1120" s="88" t="str">
        <x:f>IF(C1120="","",MIN(MAX(0,D1120+E1120-F1120),SUMIFS(SONDERZAHLUNGEN!$E$9:$E$128,SONDERZAHLUNGEN!$B$9:$B$128,C1120,SONDERZAHLUNGEN!$C$9:$C$128,A1120,SONDERZAHLUNGEN!$H$9:$H$128,"OK",SONDERZAHLUNGEN!$F$9:$F$128,"Ja")))</x:f>
      </x:c>
      <x:c r="H1120" s="88" t="str">
        <x:f>IF(C1120="","",MIN(MAX(0,D1120+E1120-F1120-G1120),MAX(0,IF(MONATSBUDGET!$C$63="",0,MONATSBUDGET!$C$63)-SUM(F1120:F1139)-0)))</x:f>
      </x:c>
      <x:c r="I1120" s="88" t="str">
        <x:f>IF(C1120="","",MAX(0,ROUND(D1120+E1120-F1120-G1120-H1120,2)))</x:f>
      </x:c>
      <x:c r="J1120" s="88" t="str">
        <x:f>IF(C1120="","",F1120+G1120+H1120)</x:f>
      </x:c>
      <x:c r="K1120" s="88" t="str">
        <x:f>IF(C1120="","",MAX(0,SUMIFS(SONDERZAHLUNGEN!$E$9:$E$128,SONDERZAHLUNGEN!$B$9:$B$128,C1120,SONDERZAHLUNGEN!$C$9:$C$128,A1120,SONDERZAHLUNGEN!$H$9:$H$128,"OK",SONDERZAHLUNGEN!$F$9:$F$128,"Ja")-G1120))</x:f>
      </x:c>
    </x:row>
    <x:row r="1121" ht="19" customHeight="1">
      <x:c r="A1121" s="90" t="n">
        <x:f>MONATSBUDGET!$A$63</x:f>
        <x:v>47908</x:v>
      </x:c>
      <x:c r="B1121" t="n">
        <x:f>2</x:f>
        <x:v>2</x:v>
      </x:c>
      <x:c r="C1121" t="str">
        <x:f>IF($N$10="","",$N$10)</x:f>
      </x:c>
      <x:c r="D1121" s="88" t="str">
        <x:f>IF(C1121="","",I1101)</x:f>
      </x:c>
      <x:c r="E1121" s="88" t="str">
        <x:f>IF(C1121="","",ROUND(D1121*$P$10/12,2))</x:f>
      </x:c>
      <x:c r="F1121" s="88" t="str">
        <x:f>IF(C1121="","",MIN(D1121+E1121,$Q$10))</x:f>
      </x:c>
      <x:c r="G1121" s="88" t="str">
        <x:f>IF(C1121="","",MIN(MAX(0,D1121+E1121-F1121),SUMIFS(SONDERZAHLUNGEN!$E$9:$E$128,SONDERZAHLUNGEN!$B$9:$B$128,C1121,SONDERZAHLUNGEN!$C$9:$C$128,A1121,SONDERZAHLUNGEN!$H$9:$H$128,"OK",SONDERZAHLUNGEN!$F$9:$F$128,"Ja")))</x:f>
      </x:c>
      <x:c r="H1121" s="88" t="str">
        <x:f>IF(C1121="","",MIN(MAX(0,D1121+E1121-F1121-G1121),MAX(0,IF(MONATSBUDGET!$C$63="",0,MONATSBUDGET!$C$63)-SUM(F1120:F1139)-SUM(H1120:H1120))))</x:f>
      </x:c>
      <x:c r="I1121" s="88" t="str">
        <x:f>IF(C1121="","",MAX(0,ROUND(D1121+E1121-F1121-G1121-H1121,2)))</x:f>
      </x:c>
      <x:c r="J1121" s="88" t="str">
        <x:f>IF(C1121="","",F1121+G1121+H1121)</x:f>
      </x:c>
      <x:c r="K1121" s="88" t="str">
        <x:f>IF(C1121="","",MAX(0,SUMIFS(SONDERZAHLUNGEN!$E$9:$E$128,SONDERZAHLUNGEN!$B$9:$B$128,C1121,SONDERZAHLUNGEN!$C$9:$C$128,A1121,SONDERZAHLUNGEN!$H$9:$H$128,"OK",SONDERZAHLUNGEN!$F$9:$F$128,"Ja")-G1121))</x:f>
      </x:c>
    </x:row>
    <x:row r="1122" ht="19" customHeight="1">
      <x:c r="A1122" s="90" t="n">
        <x:f>MONATSBUDGET!$A$63</x:f>
        <x:v>47908</x:v>
      </x:c>
      <x:c r="B1122" t="n">
        <x:f>3</x:f>
        <x:v>3</x:v>
      </x:c>
      <x:c r="C1122" t="str">
        <x:f>IF($N$11="","",$N$11)</x:f>
      </x:c>
      <x:c r="D1122" s="88" t="str">
        <x:f>IF(C1122="","",I1102)</x:f>
      </x:c>
      <x:c r="E1122" s="88" t="str">
        <x:f>IF(C1122="","",ROUND(D1122*$P$11/12,2))</x:f>
      </x:c>
      <x:c r="F1122" s="88" t="str">
        <x:f>IF(C1122="","",MIN(D1122+E1122,$Q$11))</x:f>
      </x:c>
      <x:c r="G1122" s="88" t="str">
        <x:f>IF(C1122="","",MIN(MAX(0,D1122+E1122-F1122),SUMIFS(SONDERZAHLUNGEN!$E$9:$E$128,SONDERZAHLUNGEN!$B$9:$B$128,C1122,SONDERZAHLUNGEN!$C$9:$C$128,A1122,SONDERZAHLUNGEN!$H$9:$H$128,"OK",SONDERZAHLUNGEN!$F$9:$F$128,"Ja")))</x:f>
      </x:c>
      <x:c r="H1122" s="88" t="str">
        <x:f>IF(C1122="","",MIN(MAX(0,D1122+E1122-F1122-G1122),MAX(0,IF(MONATSBUDGET!$C$63="",0,MONATSBUDGET!$C$63)-SUM(F1120:F1139)-SUM(H1120:H1121))))</x:f>
      </x:c>
      <x:c r="I1122" s="88" t="str">
        <x:f>IF(C1122="","",MAX(0,ROUND(D1122+E1122-F1122-G1122-H1122,2)))</x:f>
      </x:c>
      <x:c r="J1122" s="88" t="str">
        <x:f>IF(C1122="","",F1122+G1122+H1122)</x:f>
      </x:c>
      <x:c r="K1122" s="88" t="str">
        <x:f>IF(C1122="","",MAX(0,SUMIFS(SONDERZAHLUNGEN!$E$9:$E$128,SONDERZAHLUNGEN!$B$9:$B$128,C1122,SONDERZAHLUNGEN!$C$9:$C$128,A1122,SONDERZAHLUNGEN!$H$9:$H$128,"OK",SONDERZAHLUNGEN!$F$9:$F$128,"Ja")-G1122))</x:f>
      </x:c>
    </x:row>
    <x:row r="1123" ht="19" customHeight="1">
      <x:c r="A1123" s="90" t="n">
        <x:f>MONATSBUDGET!$A$63</x:f>
        <x:v>47908</x:v>
      </x:c>
      <x:c r="B1123" t="n">
        <x:f>4</x:f>
        <x:v>4</x:v>
      </x:c>
      <x:c r="C1123" t="str">
        <x:f>IF($N$12="","",$N$12)</x:f>
      </x:c>
      <x:c r="D1123" s="88" t="str">
        <x:f>IF(C1123="","",I1103)</x:f>
      </x:c>
      <x:c r="E1123" s="88" t="str">
        <x:f>IF(C1123="","",ROUND(D1123*$P$12/12,2))</x:f>
      </x:c>
      <x:c r="F1123" s="88" t="str">
        <x:f>IF(C1123="","",MIN(D1123+E1123,$Q$12))</x:f>
      </x:c>
      <x:c r="G1123" s="88" t="str">
        <x:f>IF(C1123="","",MIN(MAX(0,D1123+E1123-F1123),SUMIFS(SONDERZAHLUNGEN!$E$9:$E$128,SONDERZAHLUNGEN!$B$9:$B$128,C1123,SONDERZAHLUNGEN!$C$9:$C$128,A1123,SONDERZAHLUNGEN!$H$9:$H$128,"OK",SONDERZAHLUNGEN!$F$9:$F$128,"Ja")))</x:f>
      </x:c>
      <x:c r="H1123" s="88" t="str">
        <x:f>IF(C1123="","",MIN(MAX(0,D1123+E1123-F1123-G1123),MAX(0,IF(MONATSBUDGET!$C$63="",0,MONATSBUDGET!$C$63)-SUM(F1120:F1139)-SUM(H1120:H1122))))</x:f>
      </x:c>
      <x:c r="I1123" s="88" t="str">
        <x:f>IF(C1123="","",MAX(0,ROUND(D1123+E1123-F1123-G1123-H1123,2)))</x:f>
      </x:c>
      <x:c r="J1123" s="88" t="str">
        <x:f>IF(C1123="","",F1123+G1123+H1123)</x:f>
      </x:c>
      <x:c r="K1123" s="88" t="str">
        <x:f>IF(C1123="","",MAX(0,SUMIFS(SONDERZAHLUNGEN!$E$9:$E$128,SONDERZAHLUNGEN!$B$9:$B$128,C1123,SONDERZAHLUNGEN!$C$9:$C$128,A1123,SONDERZAHLUNGEN!$H$9:$H$128,"OK",SONDERZAHLUNGEN!$F$9:$F$128,"Ja")-G1123))</x:f>
      </x:c>
    </x:row>
    <x:row r="1124" ht="19" customHeight="1">
      <x:c r="A1124" s="90" t="n">
        <x:f>MONATSBUDGET!$A$63</x:f>
        <x:v>47908</x:v>
      </x:c>
      <x:c r="B1124" t="n">
        <x:f>5</x:f>
        <x:v>5</x:v>
      </x:c>
      <x:c r="C1124" t="str">
        <x:f>IF($N$13="","",$N$13)</x:f>
      </x:c>
      <x:c r="D1124" s="88" t="str">
        <x:f>IF(C1124="","",I1104)</x:f>
      </x:c>
      <x:c r="E1124" s="88" t="str">
        <x:f>IF(C1124="","",ROUND(D1124*$P$13/12,2))</x:f>
      </x:c>
      <x:c r="F1124" s="88" t="str">
        <x:f>IF(C1124="","",MIN(D1124+E1124,$Q$13))</x:f>
      </x:c>
      <x:c r="G1124" s="88" t="str">
        <x:f>IF(C1124="","",MIN(MAX(0,D1124+E1124-F1124),SUMIFS(SONDERZAHLUNGEN!$E$9:$E$128,SONDERZAHLUNGEN!$B$9:$B$128,C1124,SONDERZAHLUNGEN!$C$9:$C$128,A1124,SONDERZAHLUNGEN!$H$9:$H$128,"OK",SONDERZAHLUNGEN!$F$9:$F$128,"Ja")))</x:f>
      </x:c>
      <x:c r="H1124" s="88" t="str">
        <x:f>IF(C1124="","",MIN(MAX(0,D1124+E1124-F1124-G1124),MAX(0,IF(MONATSBUDGET!$C$63="",0,MONATSBUDGET!$C$63)-SUM(F1120:F1139)-SUM(H1120:H1123))))</x:f>
      </x:c>
      <x:c r="I1124" s="88" t="str">
        <x:f>IF(C1124="","",MAX(0,ROUND(D1124+E1124-F1124-G1124-H1124,2)))</x:f>
      </x:c>
      <x:c r="J1124" s="88" t="str">
        <x:f>IF(C1124="","",F1124+G1124+H1124)</x:f>
      </x:c>
      <x:c r="K1124" s="88" t="str">
        <x:f>IF(C1124="","",MAX(0,SUMIFS(SONDERZAHLUNGEN!$E$9:$E$128,SONDERZAHLUNGEN!$B$9:$B$128,C1124,SONDERZAHLUNGEN!$C$9:$C$128,A1124,SONDERZAHLUNGEN!$H$9:$H$128,"OK",SONDERZAHLUNGEN!$F$9:$F$128,"Ja")-G1124))</x:f>
      </x:c>
    </x:row>
    <x:row r="1125" ht="19" customHeight="1">
      <x:c r="A1125" s="90" t="n">
        <x:f>MONATSBUDGET!$A$63</x:f>
        <x:v>47908</x:v>
      </x:c>
      <x:c r="B1125" t="n">
        <x:f>6</x:f>
        <x:v>6</x:v>
      </x:c>
      <x:c r="C1125" t="str">
        <x:f>IF($N$14="","",$N$14)</x:f>
      </x:c>
      <x:c r="D1125" s="88" t="str">
        <x:f>IF(C1125="","",I1105)</x:f>
      </x:c>
      <x:c r="E1125" s="88" t="str">
        <x:f>IF(C1125="","",ROUND(D1125*$P$14/12,2))</x:f>
      </x:c>
      <x:c r="F1125" s="88" t="str">
        <x:f>IF(C1125="","",MIN(D1125+E1125,$Q$14))</x:f>
      </x:c>
      <x:c r="G1125" s="88" t="str">
        <x:f>IF(C1125="","",MIN(MAX(0,D1125+E1125-F1125),SUMIFS(SONDERZAHLUNGEN!$E$9:$E$128,SONDERZAHLUNGEN!$B$9:$B$128,C1125,SONDERZAHLUNGEN!$C$9:$C$128,A1125,SONDERZAHLUNGEN!$H$9:$H$128,"OK",SONDERZAHLUNGEN!$F$9:$F$128,"Ja")))</x:f>
      </x:c>
      <x:c r="H1125" s="88" t="str">
        <x:f>IF(C1125="","",MIN(MAX(0,D1125+E1125-F1125-G1125),MAX(0,IF(MONATSBUDGET!$C$63="",0,MONATSBUDGET!$C$63)-SUM(F1120:F1139)-SUM(H1120:H1124))))</x:f>
      </x:c>
      <x:c r="I1125" s="88" t="str">
        <x:f>IF(C1125="","",MAX(0,ROUND(D1125+E1125-F1125-G1125-H1125,2)))</x:f>
      </x:c>
      <x:c r="J1125" s="88" t="str">
        <x:f>IF(C1125="","",F1125+G1125+H1125)</x:f>
      </x:c>
      <x:c r="K1125" s="88" t="str">
        <x:f>IF(C1125="","",MAX(0,SUMIFS(SONDERZAHLUNGEN!$E$9:$E$128,SONDERZAHLUNGEN!$B$9:$B$128,C1125,SONDERZAHLUNGEN!$C$9:$C$128,A1125,SONDERZAHLUNGEN!$H$9:$H$128,"OK",SONDERZAHLUNGEN!$F$9:$F$128,"Ja")-G1125))</x:f>
      </x:c>
    </x:row>
    <x:row r="1126" ht="19" customHeight="1">
      <x:c r="A1126" s="90" t="n">
        <x:f>MONATSBUDGET!$A$63</x:f>
        <x:v>47908</x:v>
      </x:c>
      <x:c r="B1126" t="n">
        <x:f>7</x:f>
        <x:v>7</x:v>
      </x:c>
      <x:c r="C1126" t="str">
        <x:f>IF($N$15="","",$N$15)</x:f>
      </x:c>
      <x:c r="D1126" s="88" t="str">
        <x:f>IF(C1126="","",I1106)</x:f>
      </x:c>
      <x:c r="E1126" s="88" t="str">
        <x:f>IF(C1126="","",ROUND(D1126*$P$15/12,2))</x:f>
      </x:c>
      <x:c r="F1126" s="88" t="str">
        <x:f>IF(C1126="","",MIN(D1126+E1126,$Q$15))</x:f>
      </x:c>
      <x:c r="G1126" s="88" t="str">
        <x:f>IF(C1126="","",MIN(MAX(0,D1126+E1126-F1126),SUMIFS(SONDERZAHLUNGEN!$E$9:$E$128,SONDERZAHLUNGEN!$B$9:$B$128,C1126,SONDERZAHLUNGEN!$C$9:$C$128,A1126,SONDERZAHLUNGEN!$H$9:$H$128,"OK",SONDERZAHLUNGEN!$F$9:$F$128,"Ja")))</x:f>
      </x:c>
      <x:c r="H1126" s="88" t="str">
        <x:f>IF(C1126="","",MIN(MAX(0,D1126+E1126-F1126-G1126),MAX(0,IF(MONATSBUDGET!$C$63="",0,MONATSBUDGET!$C$63)-SUM(F1120:F1139)-SUM(H1120:H1125))))</x:f>
      </x:c>
      <x:c r="I1126" s="88" t="str">
        <x:f>IF(C1126="","",MAX(0,ROUND(D1126+E1126-F1126-G1126-H1126,2)))</x:f>
      </x:c>
      <x:c r="J1126" s="88" t="str">
        <x:f>IF(C1126="","",F1126+G1126+H1126)</x:f>
      </x:c>
      <x:c r="K1126" s="88" t="str">
        <x:f>IF(C1126="","",MAX(0,SUMIFS(SONDERZAHLUNGEN!$E$9:$E$128,SONDERZAHLUNGEN!$B$9:$B$128,C1126,SONDERZAHLUNGEN!$C$9:$C$128,A1126,SONDERZAHLUNGEN!$H$9:$H$128,"OK",SONDERZAHLUNGEN!$F$9:$F$128,"Ja")-G1126))</x:f>
      </x:c>
    </x:row>
    <x:row r="1127" ht="19" customHeight="1">
      <x:c r="A1127" s="90" t="n">
        <x:f>MONATSBUDGET!$A$63</x:f>
        <x:v>47908</x:v>
      </x:c>
      <x:c r="B1127" t="n">
        <x:f>8</x:f>
        <x:v>8</x:v>
      </x:c>
      <x:c r="C1127" t="str">
        <x:f>IF($N$16="","",$N$16)</x:f>
      </x:c>
      <x:c r="D1127" s="88" t="str">
        <x:f>IF(C1127="","",I1107)</x:f>
      </x:c>
      <x:c r="E1127" s="88" t="str">
        <x:f>IF(C1127="","",ROUND(D1127*$P$16/12,2))</x:f>
      </x:c>
      <x:c r="F1127" s="88" t="str">
        <x:f>IF(C1127="","",MIN(D1127+E1127,$Q$16))</x:f>
      </x:c>
      <x:c r="G1127" s="88" t="str">
        <x:f>IF(C1127="","",MIN(MAX(0,D1127+E1127-F1127),SUMIFS(SONDERZAHLUNGEN!$E$9:$E$128,SONDERZAHLUNGEN!$B$9:$B$128,C1127,SONDERZAHLUNGEN!$C$9:$C$128,A1127,SONDERZAHLUNGEN!$H$9:$H$128,"OK",SONDERZAHLUNGEN!$F$9:$F$128,"Ja")))</x:f>
      </x:c>
      <x:c r="H1127" s="88" t="str">
        <x:f>IF(C1127="","",MIN(MAX(0,D1127+E1127-F1127-G1127),MAX(0,IF(MONATSBUDGET!$C$63="",0,MONATSBUDGET!$C$63)-SUM(F1120:F1139)-SUM(H1120:H1126))))</x:f>
      </x:c>
      <x:c r="I1127" s="88" t="str">
        <x:f>IF(C1127="","",MAX(0,ROUND(D1127+E1127-F1127-G1127-H1127,2)))</x:f>
      </x:c>
      <x:c r="J1127" s="88" t="str">
        <x:f>IF(C1127="","",F1127+G1127+H1127)</x:f>
      </x:c>
      <x:c r="K1127" s="88" t="str">
        <x:f>IF(C1127="","",MAX(0,SUMIFS(SONDERZAHLUNGEN!$E$9:$E$128,SONDERZAHLUNGEN!$B$9:$B$128,C1127,SONDERZAHLUNGEN!$C$9:$C$128,A1127,SONDERZAHLUNGEN!$H$9:$H$128,"OK",SONDERZAHLUNGEN!$F$9:$F$128,"Ja")-G1127))</x:f>
      </x:c>
    </x:row>
    <x:row r="1128" ht="19" customHeight="1">
      <x:c r="A1128" s="90" t="n">
        <x:f>MONATSBUDGET!$A$63</x:f>
        <x:v>47908</x:v>
      </x:c>
      <x:c r="B1128" t="n">
        <x:f>9</x:f>
        <x:v>9</x:v>
      </x:c>
      <x:c r="C1128" t="str">
        <x:f>IF($N$17="","",$N$17)</x:f>
      </x:c>
      <x:c r="D1128" s="88" t="str">
        <x:f>IF(C1128="","",I1108)</x:f>
      </x:c>
      <x:c r="E1128" s="88" t="str">
        <x:f>IF(C1128="","",ROUND(D1128*$P$17/12,2))</x:f>
      </x:c>
      <x:c r="F1128" s="88" t="str">
        <x:f>IF(C1128="","",MIN(D1128+E1128,$Q$17))</x:f>
      </x:c>
      <x:c r="G1128" s="88" t="str">
        <x:f>IF(C1128="","",MIN(MAX(0,D1128+E1128-F1128),SUMIFS(SONDERZAHLUNGEN!$E$9:$E$128,SONDERZAHLUNGEN!$B$9:$B$128,C1128,SONDERZAHLUNGEN!$C$9:$C$128,A1128,SONDERZAHLUNGEN!$H$9:$H$128,"OK",SONDERZAHLUNGEN!$F$9:$F$128,"Ja")))</x:f>
      </x:c>
      <x:c r="H1128" s="88" t="str">
        <x:f>IF(C1128="","",MIN(MAX(0,D1128+E1128-F1128-G1128),MAX(0,IF(MONATSBUDGET!$C$63="",0,MONATSBUDGET!$C$63)-SUM(F1120:F1139)-SUM(H1120:H1127))))</x:f>
      </x:c>
      <x:c r="I1128" s="88" t="str">
        <x:f>IF(C1128="","",MAX(0,ROUND(D1128+E1128-F1128-G1128-H1128,2)))</x:f>
      </x:c>
      <x:c r="J1128" s="88" t="str">
        <x:f>IF(C1128="","",F1128+G1128+H1128)</x:f>
      </x:c>
      <x:c r="K1128" s="88" t="str">
        <x:f>IF(C1128="","",MAX(0,SUMIFS(SONDERZAHLUNGEN!$E$9:$E$128,SONDERZAHLUNGEN!$B$9:$B$128,C1128,SONDERZAHLUNGEN!$C$9:$C$128,A1128,SONDERZAHLUNGEN!$H$9:$H$128,"OK",SONDERZAHLUNGEN!$F$9:$F$128,"Ja")-G1128))</x:f>
      </x:c>
    </x:row>
    <x:row r="1129" ht="19" customHeight="1">
      <x:c r="A1129" s="90" t="n">
        <x:f>MONATSBUDGET!$A$63</x:f>
        <x:v>47908</x:v>
      </x:c>
      <x:c r="B1129" t="n">
        <x:f>10</x:f>
        <x:v>10</x:v>
      </x:c>
      <x:c r="C1129" t="str">
        <x:f>IF($N$18="","",$N$18)</x:f>
      </x:c>
      <x:c r="D1129" s="88" t="str">
        <x:f>IF(C1129="","",I1109)</x:f>
      </x:c>
      <x:c r="E1129" s="88" t="str">
        <x:f>IF(C1129="","",ROUND(D1129*$P$18/12,2))</x:f>
      </x:c>
      <x:c r="F1129" s="88" t="str">
        <x:f>IF(C1129="","",MIN(D1129+E1129,$Q$18))</x:f>
      </x:c>
      <x:c r="G1129" s="88" t="str">
        <x:f>IF(C1129="","",MIN(MAX(0,D1129+E1129-F1129),SUMIFS(SONDERZAHLUNGEN!$E$9:$E$128,SONDERZAHLUNGEN!$B$9:$B$128,C1129,SONDERZAHLUNGEN!$C$9:$C$128,A1129,SONDERZAHLUNGEN!$H$9:$H$128,"OK",SONDERZAHLUNGEN!$F$9:$F$128,"Ja")))</x:f>
      </x:c>
      <x:c r="H1129" s="88" t="str">
        <x:f>IF(C1129="","",MIN(MAX(0,D1129+E1129-F1129-G1129),MAX(0,IF(MONATSBUDGET!$C$63="",0,MONATSBUDGET!$C$63)-SUM(F1120:F1139)-SUM(H1120:H1128))))</x:f>
      </x:c>
      <x:c r="I1129" s="88" t="str">
        <x:f>IF(C1129="","",MAX(0,ROUND(D1129+E1129-F1129-G1129-H1129,2)))</x:f>
      </x:c>
      <x:c r="J1129" s="88" t="str">
        <x:f>IF(C1129="","",F1129+G1129+H1129)</x:f>
      </x:c>
      <x:c r="K1129" s="88" t="str">
        <x:f>IF(C1129="","",MAX(0,SUMIFS(SONDERZAHLUNGEN!$E$9:$E$128,SONDERZAHLUNGEN!$B$9:$B$128,C1129,SONDERZAHLUNGEN!$C$9:$C$128,A1129,SONDERZAHLUNGEN!$H$9:$H$128,"OK",SONDERZAHLUNGEN!$F$9:$F$128,"Ja")-G1129))</x:f>
      </x:c>
    </x:row>
    <x:row r="1130" ht="19" customHeight="1">
      <x:c r="A1130" s="90" t="n">
        <x:f>MONATSBUDGET!$A$63</x:f>
        <x:v>47908</x:v>
      </x:c>
      <x:c r="B1130" t="n">
        <x:f>11</x:f>
        <x:v>11</x:v>
      </x:c>
      <x:c r="C1130" t="str">
        <x:f>IF($N$19="","",$N$19)</x:f>
      </x:c>
      <x:c r="D1130" s="88" t="str">
        <x:f>IF(C1130="","",I1110)</x:f>
      </x:c>
      <x:c r="E1130" s="88" t="str">
        <x:f>IF(C1130="","",ROUND(D1130*$P$19/12,2))</x:f>
      </x:c>
      <x:c r="F1130" s="88" t="str">
        <x:f>IF(C1130="","",MIN(D1130+E1130,$Q$19))</x:f>
      </x:c>
      <x:c r="G1130" s="88" t="str">
        <x:f>IF(C1130="","",MIN(MAX(0,D1130+E1130-F1130),SUMIFS(SONDERZAHLUNGEN!$E$9:$E$128,SONDERZAHLUNGEN!$B$9:$B$128,C1130,SONDERZAHLUNGEN!$C$9:$C$128,A1130,SONDERZAHLUNGEN!$H$9:$H$128,"OK",SONDERZAHLUNGEN!$F$9:$F$128,"Ja")))</x:f>
      </x:c>
      <x:c r="H1130" s="88" t="str">
        <x:f>IF(C1130="","",MIN(MAX(0,D1130+E1130-F1130-G1130),MAX(0,IF(MONATSBUDGET!$C$63="",0,MONATSBUDGET!$C$63)-SUM(F1120:F1139)-SUM(H1120:H1129))))</x:f>
      </x:c>
      <x:c r="I1130" s="88" t="str">
        <x:f>IF(C1130="","",MAX(0,ROUND(D1130+E1130-F1130-G1130-H1130,2)))</x:f>
      </x:c>
      <x:c r="J1130" s="88" t="str">
        <x:f>IF(C1130="","",F1130+G1130+H1130)</x:f>
      </x:c>
      <x:c r="K1130" s="88" t="str">
        <x:f>IF(C1130="","",MAX(0,SUMIFS(SONDERZAHLUNGEN!$E$9:$E$128,SONDERZAHLUNGEN!$B$9:$B$128,C1130,SONDERZAHLUNGEN!$C$9:$C$128,A1130,SONDERZAHLUNGEN!$H$9:$H$128,"OK",SONDERZAHLUNGEN!$F$9:$F$128,"Ja")-G1130))</x:f>
      </x:c>
    </x:row>
    <x:row r="1131" ht="19" customHeight="1">
      <x:c r="A1131" s="90" t="n">
        <x:f>MONATSBUDGET!$A$63</x:f>
        <x:v>47908</x:v>
      </x:c>
      <x:c r="B1131" t="n">
        <x:f>12</x:f>
        <x:v>12</x:v>
      </x:c>
      <x:c r="C1131" t="str">
        <x:f>IF($N$20="","",$N$20)</x:f>
      </x:c>
      <x:c r="D1131" s="88" t="str">
        <x:f>IF(C1131="","",I1111)</x:f>
      </x:c>
      <x:c r="E1131" s="88" t="str">
        <x:f>IF(C1131="","",ROUND(D1131*$P$20/12,2))</x:f>
      </x:c>
      <x:c r="F1131" s="88" t="str">
        <x:f>IF(C1131="","",MIN(D1131+E1131,$Q$20))</x:f>
      </x:c>
      <x:c r="G1131" s="88" t="str">
        <x:f>IF(C1131="","",MIN(MAX(0,D1131+E1131-F1131),SUMIFS(SONDERZAHLUNGEN!$E$9:$E$128,SONDERZAHLUNGEN!$B$9:$B$128,C1131,SONDERZAHLUNGEN!$C$9:$C$128,A1131,SONDERZAHLUNGEN!$H$9:$H$128,"OK",SONDERZAHLUNGEN!$F$9:$F$128,"Ja")))</x:f>
      </x:c>
      <x:c r="H1131" s="88" t="str">
        <x:f>IF(C1131="","",MIN(MAX(0,D1131+E1131-F1131-G1131),MAX(0,IF(MONATSBUDGET!$C$63="",0,MONATSBUDGET!$C$63)-SUM(F1120:F1139)-SUM(H1120:H1130))))</x:f>
      </x:c>
      <x:c r="I1131" s="88" t="str">
        <x:f>IF(C1131="","",MAX(0,ROUND(D1131+E1131-F1131-G1131-H1131,2)))</x:f>
      </x:c>
      <x:c r="J1131" s="88" t="str">
        <x:f>IF(C1131="","",F1131+G1131+H1131)</x:f>
      </x:c>
      <x:c r="K1131" s="88" t="str">
        <x:f>IF(C1131="","",MAX(0,SUMIFS(SONDERZAHLUNGEN!$E$9:$E$128,SONDERZAHLUNGEN!$B$9:$B$128,C1131,SONDERZAHLUNGEN!$C$9:$C$128,A1131,SONDERZAHLUNGEN!$H$9:$H$128,"OK",SONDERZAHLUNGEN!$F$9:$F$128,"Ja")-G1131))</x:f>
      </x:c>
    </x:row>
    <x:row r="1132" ht="19" customHeight="1">
      <x:c r="A1132" s="90" t="n">
        <x:f>MONATSBUDGET!$A$63</x:f>
        <x:v>47908</x:v>
      </x:c>
      <x:c r="B1132" t="n">
        <x:f>13</x:f>
        <x:v>13</x:v>
      </x:c>
      <x:c r="C1132" t="str">
        <x:f>IF($N$21="","",$N$21)</x:f>
      </x:c>
      <x:c r="D1132" s="88" t="str">
        <x:f>IF(C1132="","",I1112)</x:f>
      </x:c>
      <x:c r="E1132" s="88" t="str">
        <x:f>IF(C1132="","",ROUND(D1132*$P$21/12,2))</x:f>
      </x:c>
      <x:c r="F1132" s="88" t="str">
        <x:f>IF(C1132="","",MIN(D1132+E1132,$Q$21))</x:f>
      </x:c>
      <x:c r="G1132" s="88" t="str">
        <x:f>IF(C1132="","",MIN(MAX(0,D1132+E1132-F1132),SUMIFS(SONDERZAHLUNGEN!$E$9:$E$128,SONDERZAHLUNGEN!$B$9:$B$128,C1132,SONDERZAHLUNGEN!$C$9:$C$128,A1132,SONDERZAHLUNGEN!$H$9:$H$128,"OK",SONDERZAHLUNGEN!$F$9:$F$128,"Ja")))</x:f>
      </x:c>
      <x:c r="H1132" s="88" t="str">
        <x:f>IF(C1132="","",MIN(MAX(0,D1132+E1132-F1132-G1132),MAX(0,IF(MONATSBUDGET!$C$63="",0,MONATSBUDGET!$C$63)-SUM(F1120:F1139)-SUM(H1120:H1131))))</x:f>
      </x:c>
      <x:c r="I1132" s="88" t="str">
        <x:f>IF(C1132="","",MAX(0,ROUND(D1132+E1132-F1132-G1132-H1132,2)))</x:f>
      </x:c>
      <x:c r="J1132" s="88" t="str">
        <x:f>IF(C1132="","",F1132+G1132+H1132)</x:f>
      </x:c>
      <x:c r="K1132" s="88" t="str">
        <x:f>IF(C1132="","",MAX(0,SUMIFS(SONDERZAHLUNGEN!$E$9:$E$128,SONDERZAHLUNGEN!$B$9:$B$128,C1132,SONDERZAHLUNGEN!$C$9:$C$128,A1132,SONDERZAHLUNGEN!$H$9:$H$128,"OK",SONDERZAHLUNGEN!$F$9:$F$128,"Ja")-G1132))</x:f>
      </x:c>
    </x:row>
    <x:row r="1133" ht="19" customHeight="1">
      <x:c r="A1133" s="90" t="n">
        <x:f>MONATSBUDGET!$A$63</x:f>
        <x:v>47908</x:v>
      </x:c>
      <x:c r="B1133" t="n">
        <x:f>14</x:f>
        <x:v>14</x:v>
      </x:c>
      <x:c r="C1133" t="str">
        <x:f>IF($N$22="","",$N$22)</x:f>
      </x:c>
      <x:c r="D1133" s="88" t="str">
        <x:f>IF(C1133="","",I1113)</x:f>
      </x:c>
      <x:c r="E1133" s="88" t="str">
        <x:f>IF(C1133="","",ROUND(D1133*$P$22/12,2))</x:f>
      </x:c>
      <x:c r="F1133" s="88" t="str">
        <x:f>IF(C1133="","",MIN(D1133+E1133,$Q$22))</x:f>
      </x:c>
      <x:c r="G1133" s="88" t="str">
        <x:f>IF(C1133="","",MIN(MAX(0,D1133+E1133-F1133),SUMIFS(SONDERZAHLUNGEN!$E$9:$E$128,SONDERZAHLUNGEN!$B$9:$B$128,C1133,SONDERZAHLUNGEN!$C$9:$C$128,A1133,SONDERZAHLUNGEN!$H$9:$H$128,"OK",SONDERZAHLUNGEN!$F$9:$F$128,"Ja")))</x:f>
      </x:c>
      <x:c r="H1133" s="88" t="str">
        <x:f>IF(C1133="","",MIN(MAX(0,D1133+E1133-F1133-G1133),MAX(0,IF(MONATSBUDGET!$C$63="",0,MONATSBUDGET!$C$63)-SUM(F1120:F1139)-SUM(H1120:H1132))))</x:f>
      </x:c>
      <x:c r="I1133" s="88" t="str">
        <x:f>IF(C1133="","",MAX(0,ROUND(D1133+E1133-F1133-G1133-H1133,2)))</x:f>
      </x:c>
      <x:c r="J1133" s="88" t="str">
        <x:f>IF(C1133="","",F1133+G1133+H1133)</x:f>
      </x:c>
      <x:c r="K1133" s="88" t="str">
        <x:f>IF(C1133="","",MAX(0,SUMIFS(SONDERZAHLUNGEN!$E$9:$E$128,SONDERZAHLUNGEN!$B$9:$B$128,C1133,SONDERZAHLUNGEN!$C$9:$C$128,A1133,SONDERZAHLUNGEN!$H$9:$H$128,"OK",SONDERZAHLUNGEN!$F$9:$F$128,"Ja")-G1133))</x:f>
      </x:c>
    </x:row>
    <x:row r="1134" ht="19" customHeight="1">
      <x:c r="A1134" s="90" t="n">
        <x:f>MONATSBUDGET!$A$63</x:f>
        <x:v>47908</x:v>
      </x:c>
      <x:c r="B1134" t="n">
        <x:f>15</x:f>
        <x:v>15</x:v>
      </x:c>
      <x:c r="C1134" t="str">
        <x:f>IF($N$23="","",$N$23)</x:f>
      </x:c>
      <x:c r="D1134" s="88" t="str">
        <x:f>IF(C1134="","",I1114)</x:f>
      </x:c>
      <x:c r="E1134" s="88" t="str">
        <x:f>IF(C1134="","",ROUND(D1134*$P$23/12,2))</x:f>
      </x:c>
      <x:c r="F1134" s="88" t="str">
        <x:f>IF(C1134="","",MIN(D1134+E1134,$Q$23))</x:f>
      </x:c>
      <x:c r="G1134" s="88" t="str">
        <x:f>IF(C1134="","",MIN(MAX(0,D1134+E1134-F1134),SUMIFS(SONDERZAHLUNGEN!$E$9:$E$128,SONDERZAHLUNGEN!$B$9:$B$128,C1134,SONDERZAHLUNGEN!$C$9:$C$128,A1134,SONDERZAHLUNGEN!$H$9:$H$128,"OK",SONDERZAHLUNGEN!$F$9:$F$128,"Ja")))</x:f>
      </x:c>
      <x:c r="H1134" s="88" t="str">
        <x:f>IF(C1134="","",MIN(MAX(0,D1134+E1134-F1134-G1134),MAX(0,IF(MONATSBUDGET!$C$63="",0,MONATSBUDGET!$C$63)-SUM(F1120:F1139)-SUM(H1120:H1133))))</x:f>
      </x:c>
      <x:c r="I1134" s="88" t="str">
        <x:f>IF(C1134="","",MAX(0,ROUND(D1134+E1134-F1134-G1134-H1134,2)))</x:f>
      </x:c>
      <x:c r="J1134" s="88" t="str">
        <x:f>IF(C1134="","",F1134+G1134+H1134)</x:f>
      </x:c>
      <x:c r="K1134" s="88" t="str">
        <x:f>IF(C1134="","",MAX(0,SUMIFS(SONDERZAHLUNGEN!$E$9:$E$128,SONDERZAHLUNGEN!$B$9:$B$128,C1134,SONDERZAHLUNGEN!$C$9:$C$128,A1134,SONDERZAHLUNGEN!$H$9:$H$128,"OK",SONDERZAHLUNGEN!$F$9:$F$128,"Ja")-G1134))</x:f>
      </x:c>
    </x:row>
    <x:row r="1135" ht="19" customHeight="1">
      <x:c r="A1135" s="90" t="n">
        <x:f>MONATSBUDGET!$A$63</x:f>
        <x:v>47908</x:v>
      </x:c>
      <x:c r="B1135" t="n">
        <x:f>16</x:f>
        <x:v>16</x:v>
      </x:c>
      <x:c r="C1135" t="str">
        <x:f>IF($N$24="","",$N$24)</x:f>
      </x:c>
      <x:c r="D1135" s="88" t="str">
        <x:f>IF(C1135="","",I1115)</x:f>
      </x:c>
      <x:c r="E1135" s="88" t="str">
        <x:f>IF(C1135="","",ROUND(D1135*$P$24/12,2))</x:f>
      </x:c>
      <x:c r="F1135" s="88" t="str">
        <x:f>IF(C1135="","",MIN(D1135+E1135,$Q$24))</x:f>
      </x:c>
      <x:c r="G1135" s="88" t="str">
        <x:f>IF(C1135="","",MIN(MAX(0,D1135+E1135-F1135),SUMIFS(SONDERZAHLUNGEN!$E$9:$E$128,SONDERZAHLUNGEN!$B$9:$B$128,C1135,SONDERZAHLUNGEN!$C$9:$C$128,A1135,SONDERZAHLUNGEN!$H$9:$H$128,"OK",SONDERZAHLUNGEN!$F$9:$F$128,"Ja")))</x:f>
      </x:c>
      <x:c r="H1135" s="88" t="str">
        <x:f>IF(C1135="","",MIN(MAX(0,D1135+E1135-F1135-G1135),MAX(0,IF(MONATSBUDGET!$C$63="",0,MONATSBUDGET!$C$63)-SUM(F1120:F1139)-SUM(H1120:H1134))))</x:f>
      </x:c>
      <x:c r="I1135" s="88" t="str">
        <x:f>IF(C1135="","",MAX(0,ROUND(D1135+E1135-F1135-G1135-H1135,2)))</x:f>
      </x:c>
      <x:c r="J1135" s="88" t="str">
        <x:f>IF(C1135="","",F1135+G1135+H1135)</x:f>
      </x:c>
      <x:c r="K1135" s="88" t="str">
        <x:f>IF(C1135="","",MAX(0,SUMIFS(SONDERZAHLUNGEN!$E$9:$E$128,SONDERZAHLUNGEN!$B$9:$B$128,C1135,SONDERZAHLUNGEN!$C$9:$C$128,A1135,SONDERZAHLUNGEN!$H$9:$H$128,"OK",SONDERZAHLUNGEN!$F$9:$F$128,"Ja")-G1135))</x:f>
      </x:c>
    </x:row>
    <x:row r="1136" ht="19" customHeight="1">
      <x:c r="A1136" s="90" t="n">
        <x:f>MONATSBUDGET!$A$63</x:f>
        <x:v>47908</x:v>
      </x:c>
      <x:c r="B1136" t="n">
        <x:f>17</x:f>
        <x:v>17</x:v>
      </x:c>
      <x:c r="C1136" t="str">
        <x:f>IF($N$25="","",$N$25)</x:f>
      </x:c>
      <x:c r="D1136" s="88" t="str">
        <x:f>IF(C1136="","",I1116)</x:f>
      </x:c>
      <x:c r="E1136" s="88" t="str">
        <x:f>IF(C1136="","",ROUND(D1136*$P$25/12,2))</x:f>
      </x:c>
      <x:c r="F1136" s="88" t="str">
        <x:f>IF(C1136="","",MIN(D1136+E1136,$Q$25))</x:f>
      </x:c>
      <x:c r="G1136" s="88" t="str">
        <x:f>IF(C1136="","",MIN(MAX(0,D1136+E1136-F1136),SUMIFS(SONDERZAHLUNGEN!$E$9:$E$128,SONDERZAHLUNGEN!$B$9:$B$128,C1136,SONDERZAHLUNGEN!$C$9:$C$128,A1136,SONDERZAHLUNGEN!$H$9:$H$128,"OK",SONDERZAHLUNGEN!$F$9:$F$128,"Ja")))</x:f>
      </x:c>
      <x:c r="H1136" s="88" t="str">
        <x:f>IF(C1136="","",MIN(MAX(0,D1136+E1136-F1136-G1136),MAX(0,IF(MONATSBUDGET!$C$63="",0,MONATSBUDGET!$C$63)-SUM(F1120:F1139)-SUM(H1120:H1135))))</x:f>
      </x:c>
      <x:c r="I1136" s="88" t="str">
        <x:f>IF(C1136="","",MAX(0,ROUND(D1136+E1136-F1136-G1136-H1136,2)))</x:f>
      </x:c>
      <x:c r="J1136" s="88" t="str">
        <x:f>IF(C1136="","",F1136+G1136+H1136)</x:f>
      </x:c>
      <x:c r="K1136" s="88" t="str">
        <x:f>IF(C1136="","",MAX(0,SUMIFS(SONDERZAHLUNGEN!$E$9:$E$128,SONDERZAHLUNGEN!$B$9:$B$128,C1136,SONDERZAHLUNGEN!$C$9:$C$128,A1136,SONDERZAHLUNGEN!$H$9:$H$128,"OK",SONDERZAHLUNGEN!$F$9:$F$128,"Ja")-G1136))</x:f>
      </x:c>
    </x:row>
    <x:row r="1137" ht="19" customHeight="1">
      <x:c r="A1137" s="90" t="n">
        <x:f>MONATSBUDGET!$A$63</x:f>
        <x:v>47908</x:v>
      </x:c>
      <x:c r="B1137" t="n">
        <x:f>18</x:f>
        <x:v>18</x:v>
      </x:c>
      <x:c r="C1137" t="str">
        <x:f>IF($N$26="","",$N$26)</x:f>
      </x:c>
      <x:c r="D1137" s="88" t="str">
        <x:f>IF(C1137="","",I1117)</x:f>
      </x:c>
      <x:c r="E1137" s="88" t="str">
        <x:f>IF(C1137="","",ROUND(D1137*$P$26/12,2))</x:f>
      </x:c>
      <x:c r="F1137" s="88" t="str">
        <x:f>IF(C1137="","",MIN(D1137+E1137,$Q$26))</x:f>
      </x:c>
      <x:c r="G1137" s="88" t="str">
        <x:f>IF(C1137="","",MIN(MAX(0,D1137+E1137-F1137),SUMIFS(SONDERZAHLUNGEN!$E$9:$E$128,SONDERZAHLUNGEN!$B$9:$B$128,C1137,SONDERZAHLUNGEN!$C$9:$C$128,A1137,SONDERZAHLUNGEN!$H$9:$H$128,"OK",SONDERZAHLUNGEN!$F$9:$F$128,"Ja")))</x:f>
      </x:c>
      <x:c r="H1137" s="88" t="str">
        <x:f>IF(C1137="","",MIN(MAX(0,D1137+E1137-F1137-G1137),MAX(0,IF(MONATSBUDGET!$C$63="",0,MONATSBUDGET!$C$63)-SUM(F1120:F1139)-SUM(H1120:H1136))))</x:f>
      </x:c>
      <x:c r="I1137" s="88" t="str">
        <x:f>IF(C1137="","",MAX(0,ROUND(D1137+E1137-F1137-G1137-H1137,2)))</x:f>
      </x:c>
      <x:c r="J1137" s="88" t="str">
        <x:f>IF(C1137="","",F1137+G1137+H1137)</x:f>
      </x:c>
      <x:c r="K1137" s="88" t="str">
        <x:f>IF(C1137="","",MAX(0,SUMIFS(SONDERZAHLUNGEN!$E$9:$E$128,SONDERZAHLUNGEN!$B$9:$B$128,C1137,SONDERZAHLUNGEN!$C$9:$C$128,A1137,SONDERZAHLUNGEN!$H$9:$H$128,"OK",SONDERZAHLUNGEN!$F$9:$F$128,"Ja")-G1137))</x:f>
      </x:c>
    </x:row>
    <x:row r="1138" ht="19" customHeight="1">
      <x:c r="A1138" s="90" t="n">
        <x:f>MONATSBUDGET!$A$63</x:f>
        <x:v>47908</x:v>
      </x:c>
      <x:c r="B1138" t="n">
        <x:f>19</x:f>
        <x:v>19</x:v>
      </x:c>
      <x:c r="C1138" t="str">
        <x:f>IF($N$27="","",$N$27)</x:f>
      </x:c>
      <x:c r="D1138" s="88" t="str">
        <x:f>IF(C1138="","",I1118)</x:f>
      </x:c>
      <x:c r="E1138" s="88" t="str">
        <x:f>IF(C1138="","",ROUND(D1138*$P$27/12,2))</x:f>
      </x:c>
      <x:c r="F1138" s="88" t="str">
        <x:f>IF(C1138="","",MIN(D1138+E1138,$Q$27))</x:f>
      </x:c>
      <x:c r="G1138" s="88" t="str">
        <x:f>IF(C1138="","",MIN(MAX(0,D1138+E1138-F1138),SUMIFS(SONDERZAHLUNGEN!$E$9:$E$128,SONDERZAHLUNGEN!$B$9:$B$128,C1138,SONDERZAHLUNGEN!$C$9:$C$128,A1138,SONDERZAHLUNGEN!$H$9:$H$128,"OK",SONDERZAHLUNGEN!$F$9:$F$128,"Ja")))</x:f>
      </x:c>
      <x:c r="H1138" s="88" t="str">
        <x:f>IF(C1138="","",MIN(MAX(0,D1138+E1138-F1138-G1138),MAX(0,IF(MONATSBUDGET!$C$63="",0,MONATSBUDGET!$C$63)-SUM(F1120:F1139)-SUM(H1120:H1137))))</x:f>
      </x:c>
      <x:c r="I1138" s="88" t="str">
        <x:f>IF(C1138="","",MAX(0,ROUND(D1138+E1138-F1138-G1138-H1138,2)))</x:f>
      </x:c>
      <x:c r="J1138" s="88" t="str">
        <x:f>IF(C1138="","",F1138+G1138+H1138)</x:f>
      </x:c>
      <x:c r="K1138" s="88" t="str">
        <x:f>IF(C1138="","",MAX(0,SUMIFS(SONDERZAHLUNGEN!$E$9:$E$128,SONDERZAHLUNGEN!$B$9:$B$128,C1138,SONDERZAHLUNGEN!$C$9:$C$128,A1138,SONDERZAHLUNGEN!$H$9:$H$128,"OK",SONDERZAHLUNGEN!$F$9:$F$128,"Ja")-G1138))</x:f>
      </x:c>
    </x:row>
    <x:row r="1139" ht="19" customHeight="1">
      <x:c r="A1139" s="90" t="n">
        <x:f>MONATSBUDGET!$A$63</x:f>
        <x:v>47908</x:v>
      </x:c>
      <x:c r="B1139" t="n">
        <x:f>20</x:f>
        <x:v>20</x:v>
      </x:c>
      <x:c r="C1139" t="str">
        <x:f>IF($N$28="","",$N$28)</x:f>
      </x:c>
      <x:c r="D1139" s="88" t="str">
        <x:f>IF(C1139="","",I1119)</x:f>
      </x:c>
      <x:c r="E1139" s="88" t="str">
        <x:f>IF(C1139="","",ROUND(D1139*$P$28/12,2))</x:f>
      </x:c>
      <x:c r="F1139" s="88" t="str">
        <x:f>IF(C1139="","",MIN(D1139+E1139,$Q$28))</x:f>
      </x:c>
      <x:c r="G1139" s="88" t="str">
        <x:f>IF(C1139="","",MIN(MAX(0,D1139+E1139-F1139),SUMIFS(SONDERZAHLUNGEN!$E$9:$E$128,SONDERZAHLUNGEN!$B$9:$B$128,C1139,SONDERZAHLUNGEN!$C$9:$C$128,A1139,SONDERZAHLUNGEN!$H$9:$H$128,"OK",SONDERZAHLUNGEN!$F$9:$F$128,"Ja")))</x:f>
      </x:c>
      <x:c r="H1139" s="88" t="str">
        <x:f>IF(C1139="","",MIN(MAX(0,D1139+E1139-F1139-G1139),MAX(0,IF(MONATSBUDGET!$C$63="",0,MONATSBUDGET!$C$63)-SUM(F1120:F1139)-SUM(H1120:H1138))))</x:f>
      </x:c>
      <x:c r="I1139" s="88" t="str">
        <x:f>IF(C1139="","",MAX(0,ROUND(D1139+E1139-F1139-G1139-H1139,2)))</x:f>
      </x:c>
      <x:c r="J1139" s="88" t="str">
        <x:f>IF(C1139="","",F1139+G1139+H1139)</x:f>
      </x:c>
      <x:c r="K1139" s="88" t="str">
        <x:f>IF(C1139="","",MAX(0,SUMIFS(SONDERZAHLUNGEN!$E$9:$E$128,SONDERZAHLUNGEN!$B$9:$B$128,C1139,SONDERZAHLUNGEN!$C$9:$C$128,A1139,SONDERZAHLUNGEN!$H$9:$H$128,"OK",SONDERZAHLUNGEN!$F$9:$F$128,"Ja")-G1139))</x:f>
      </x:c>
    </x:row>
    <x:row r="1140" ht="19" customHeight="1">
      <x:c r="A1140" s="90" t="n">
        <x:f>MONATSBUDGET!$A$64</x:f>
        <x:v>47939</x:v>
      </x:c>
      <x:c r="B1140" t="n">
        <x:f>1</x:f>
        <x:v>1</x:v>
      </x:c>
      <x:c r="C1140" t="str">
        <x:f>IF($N$9="","",$N$9)</x:f>
      </x:c>
      <x:c r="D1140" s="88" t="str">
        <x:f>IF(C1140="","",I1120)</x:f>
      </x:c>
      <x:c r="E1140" s="88" t="str">
        <x:f>IF(C1140="","",ROUND(D1140*$P$9/12,2))</x:f>
      </x:c>
      <x:c r="F1140" s="88" t="str">
        <x:f>IF(C1140="","",MIN(D1140+E1140,$Q$9))</x:f>
      </x:c>
      <x:c r="G1140" s="88" t="str">
        <x:f>IF(C1140="","",MIN(MAX(0,D1140+E1140-F1140),SUMIFS(SONDERZAHLUNGEN!$E$9:$E$128,SONDERZAHLUNGEN!$B$9:$B$128,C1140,SONDERZAHLUNGEN!$C$9:$C$128,A1140,SONDERZAHLUNGEN!$H$9:$H$128,"OK",SONDERZAHLUNGEN!$F$9:$F$128,"Ja")))</x:f>
      </x:c>
      <x:c r="H1140" s="88" t="str">
        <x:f>IF(C1140="","",MIN(MAX(0,D1140+E1140-F1140-G1140),MAX(0,IF(MONATSBUDGET!$C$64="",0,MONATSBUDGET!$C$64)-SUM(F1140:F1159)-0)))</x:f>
      </x:c>
      <x:c r="I1140" s="88" t="str">
        <x:f>IF(C1140="","",MAX(0,ROUND(D1140+E1140-F1140-G1140-H1140,2)))</x:f>
      </x:c>
      <x:c r="J1140" s="88" t="str">
        <x:f>IF(C1140="","",F1140+G1140+H1140)</x:f>
      </x:c>
      <x:c r="K1140" s="88" t="str">
        <x:f>IF(C1140="","",MAX(0,SUMIFS(SONDERZAHLUNGEN!$E$9:$E$128,SONDERZAHLUNGEN!$B$9:$B$128,C1140,SONDERZAHLUNGEN!$C$9:$C$128,A1140,SONDERZAHLUNGEN!$H$9:$H$128,"OK",SONDERZAHLUNGEN!$F$9:$F$128,"Ja")-G1140))</x:f>
      </x:c>
    </x:row>
    <x:row r="1141" ht="19" customHeight="1">
      <x:c r="A1141" s="90" t="n">
        <x:f>MONATSBUDGET!$A$64</x:f>
        <x:v>47939</x:v>
      </x:c>
      <x:c r="B1141" t="n">
        <x:f>2</x:f>
        <x:v>2</x:v>
      </x:c>
      <x:c r="C1141" t="str">
        <x:f>IF($N$10="","",$N$10)</x:f>
      </x:c>
      <x:c r="D1141" s="88" t="str">
        <x:f>IF(C1141="","",I1121)</x:f>
      </x:c>
      <x:c r="E1141" s="88" t="str">
        <x:f>IF(C1141="","",ROUND(D1141*$P$10/12,2))</x:f>
      </x:c>
      <x:c r="F1141" s="88" t="str">
        <x:f>IF(C1141="","",MIN(D1141+E1141,$Q$10))</x:f>
      </x:c>
      <x:c r="G1141" s="88" t="str">
        <x:f>IF(C1141="","",MIN(MAX(0,D1141+E1141-F1141),SUMIFS(SONDERZAHLUNGEN!$E$9:$E$128,SONDERZAHLUNGEN!$B$9:$B$128,C1141,SONDERZAHLUNGEN!$C$9:$C$128,A1141,SONDERZAHLUNGEN!$H$9:$H$128,"OK",SONDERZAHLUNGEN!$F$9:$F$128,"Ja")))</x:f>
      </x:c>
      <x:c r="H1141" s="88" t="str">
        <x:f>IF(C1141="","",MIN(MAX(0,D1141+E1141-F1141-G1141),MAX(0,IF(MONATSBUDGET!$C$64="",0,MONATSBUDGET!$C$64)-SUM(F1140:F1159)-SUM(H1140:H1140))))</x:f>
      </x:c>
      <x:c r="I1141" s="88" t="str">
        <x:f>IF(C1141="","",MAX(0,ROUND(D1141+E1141-F1141-G1141-H1141,2)))</x:f>
      </x:c>
      <x:c r="J1141" s="88" t="str">
        <x:f>IF(C1141="","",F1141+G1141+H1141)</x:f>
      </x:c>
      <x:c r="K1141" s="88" t="str">
        <x:f>IF(C1141="","",MAX(0,SUMIFS(SONDERZAHLUNGEN!$E$9:$E$128,SONDERZAHLUNGEN!$B$9:$B$128,C1141,SONDERZAHLUNGEN!$C$9:$C$128,A1141,SONDERZAHLUNGEN!$H$9:$H$128,"OK",SONDERZAHLUNGEN!$F$9:$F$128,"Ja")-G1141))</x:f>
      </x:c>
    </x:row>
    <x:row r="1142" ht="19" customHeight="1">
      <x:c r="A1142" s="90" t="n">
        <x:f>MONATSBUDGET!$A$64</x:f>
        <x:v>47939</x:v>
      </x:c>
      <x:c r="B1142" t="n">
        <x:f>3</x:f>
        <x:v>3</x:v>
      </x:c>
      <x:c r="C1142" t="str">
        <x:f>IF($N$11="","",$N$11)</x:f>
      </x:c>
      <x:c r="D1142" s="88" t="str">
        <x:f>IF(C1142="","",I1122)</x:f>
      </x:c>
      <x:c r="E1142" s="88" t="str">
        <x:f>IF(C1142="","",ROUND(D1142*$P$11/12,2))</x:f>
      </x:c>
      <x:c r="F1142" s="88" t="str">
        <x:f>IF(C1142="","",MIN(D1142+E1142,$Q$11))</x:f>
      </x:c>
      <x:c r="G1142" s="88" t="str">
        <x:f>IF(C1142="","",MIN(MAX(0,D1142+E1142-F1142),SUMIFS(SONDERZAHLUNGEN!$E$9:$E$128,SONDERZAHLUNGEN!$B$9:$B$128,C1142,SONDERZAHLUNGEN!$C$9:$C$128,A1142,SONDERZAHLUNGEN!$H$9:$H$128,"OK",SONDERZAHLUNGEN!$F$9:$F$128,"Ja")))</x:f>
      </x:c>
      <x:c r="H1142" s="88" t="str">
        <x:f>IF(C1142="","",MIN(MAX(0,D1142+E1142-F1142-G1142),MAX(0,IF(MONATSBUDGET!$C$64="",0,MONATSBUDGET!$C$64)-SUM(F1140:F1159)-SUM(H1140:H1141))))</x:f>
      </x:c>
      <x:c r="I1142" s="88" t="str">
        <x:f>IF(C1142="","",MAX(0,ROUND(D1142+E1142-F1142-G1142-H1142,2)))</x:f>
      </x:c>
      <x:c r="J1142" s="88" t="str">
        <x:f>IF(C1142="","",F1142+G1142+H1142)</x:f>
      </x:c>
      <x:c r="K1142" s="88" t="str">
        <x:f>IF(C1142="","",MAX(0,SUMIFS(SONDERZAHLUNGEN!$E$9:$E$128,SONDERZAHLUNGEN!$B$9:$B$128,C1142,SONDERZAHLUNGEN!$C$9:$C$128,A1142,SONDERZAHLUNGEN!$H$9:$H$128,"OK",SONDERZAHLUNGEN!$F$9:$F$128,"Ja")-G1142))</x:f>
      </x:c>
    </x:row>
    <x:row r="1143" ht="19" customHeight="1">
      <x:c r="A1143" s="90" t="n">
        <x:f>MONATSBUDGET!$A$64</x:f>
        <x:v>47939</x:v>
      </x:c>
      <x:c r="B1143" t="n">
        <x:f>4</x:f>
        <x:v>4</x:v>
      </x:c>
      <x:c r="C1143" t="str">
        <x:f>IF($N$12="","",$N$12)</x:f>
      </x:c>
      <x:c r="D1143" s="88" t="str">
        <x:f>IF(C1143="","",I1123)</x:f>
      </x:c>
      <x:c r="E1143" s="88" t="str">
        <x:f>IF(C1143="","",ROUND(D1143*$P$12/12,2))</x:f>
      </x:c>
      <x:c r="F1143" s="88" t="str">
        <x:f>IF(C1143="","",MIN(D1143+E1143,$Q$12))</x:f>
      </x:c>
      <x:c r="G1143" s="88" t="str">
        <x:f>IF(C1143="","",MIN(MAX(0,D1143+E1143-F1143),SUMIFS(SONDERZAHLUNGEN!$E$9:$E$128,SONDERZAHLUNGEN!$B$9:$B$128,C1143,SONDERZAHLUNGEN!$C$9:$C$128,A1143,SONDERZAHLUNGEN!$H$9:$H$128,"OK",SONDERZAHLUNGEN!$F$9:$F$128,"Ja")))</x:f>
      </x:c>
      <x:c r="H1143" s="88" t="str">
        <x:f>IF(C1143="","",MIN(MAX(0,D1143+E1143-F1143-G1143),MAX(0,IF(MONATSBUDGET!$C$64="",0,MONATSBUDGET!$C$64)-SUM(F1140:F1159)-SUM(H1140:H1142))))</x:f>
      </x:c>
      <x:c r="I1143" s="88" t="str">
        <x:f>IF(C1143="","",MAX(0,ROUND(D1143+E1143-F1143-G1143-H1143,2)))</x:f>
      </x:c>
      <x:c r="J1143" s="88" t="str">
        <x:f>IF(C1143="","",F1143+G1143+H1143)</x:f>
      </x:c>
      <x:c r="K1143" s="88" t="str">
        <x:f>IF(C1143="","",MAX(0,SUMIFS(SONDERZAHLUNGEN!$E$9:$E$128,SONDERZAHLUNGEN!$B$9:$B$128,C1143,SONDERZAHLUNGEN!$C$9:$C$128,A1143,SONDERZAHLUNGEN!$H$9:$H$128,"OK",SONDERZAHLUNGEN!$F$9:$F$128,"Ja")-G1143))</x:f>
      </x:c>
    </x:row>
    <x:row r="1144" ht="19" customHeight="1">
      <x:c r="A1144" s="90" t="n">
        <x:f>MONATSBUDGET!$A$64</x:f>
        <x:v>47939</x:v>
      </x:c>
      <x:c r="B1144" t="n">
        <x:f>5</x:f>
        <x:v>5</x:v>
      </x:c>
      <x:c r="C1144" t="str">
        <x:f>IF($N$13="","",$N$13)</x:f>
      </x:c>
      <x:c r="D1144" s="88" t="str">
        <x:f>IF(C1144="","",I1124)</x:f>
      </x:c>
      <x:c r="E1144" s="88" t="str">
        <x:f>IF(C1144="","",ROUND(D1144*$P$13/12,2))</x:f>
      </x:c>
      <x:c r="F1144" s="88" t="str">
        <x:f>IF(C1144="","",MIN(D1144+E1144,$Q$13))</x:f>
      </x:c>
      <x:c r="G1144" s="88" t="str">
        <x:f>IF(C1144="","",MIN(MAX(0,D1144+E1144-F1144),SUMIFS(SONDERZAHLUNGEN!$E$9:$E$128,SONDERZAHLUNGEN!$B$9:$B$128,C1144,SONDERZAHLUNGEN!$C$9:$C$128,A1144,SONDERZAHLUNGEN!$H$9:$H$128,"OK",SONDERZAHLUNGEN!$F$9:$F$128,"Ja")))</x:f>
      </x:c>
      <x:c r="H1144" s="88" t="str">
        <x:f>IF(C1144="","",MIN(MAX(0,D1144+E1144-F1144-G1144),MAX(0,IF(MONATSBUDGET!$C$64="",0,MONATSBUDGET!$C$64)-SUM(F1140:F1159)-SUM(H1140:H1143))))</x:f>
      </x:c>
      <x:c r="I1144" s="88" t="str">
        <x:f>IF(C1144="","",MAX(0,ROUND(D1144+E1144-F1144-G1144-H1144,2)))</x:f>
      </x:c>
      <x:c r="J1144" s="88" t="str">
        <x:f>IF(C1144="","",F1144+G1144+H1144)</x:f>
      </x:c>
      <x:c r="K1144" s="88" t="str">
        <x:f>IF(C1144="","",MAX(0,SUMIFS(SONDERZAHLUNGEN!$E$9:$E$128,SONDERZAHLUNGEN!$B$9:$B$128,C1144,SONDERZAHLUNGEN!$C$9:$C$128,A1144,SONDERZAHLUNGEN!$H$9:$H$128,"OK",SONDERZAHLUNGEN!$F$9:$F$128,"Ja")-G1144))</x:f>
      </x:c>
    </x:row>
    <x:row r="1145" ht="19" customHeight="1">
      <x:c r="A1145" s="90" t="n">
        <x:f>MONATSBUDGET!$A$64</x:f>
        <x:v>47939</x:v>
      </x:c>
      <x:c r="B1145" t="n">
        <x:f>6</x:f>
        <x:v>6</x:v>
      </x:c>
      <x:c r="C1145" t="str">
        <x:f>IF($N$14="","",$N$14)</x:f>
      </x:c>
      <x:c r="D1145" s="88" t="str">
        <x:f>IF(C1145="","",I1125)</x:f>
      </x:c>
      <x:c r="E1145" s="88" t="str">
        <x:f>IF(C1145="","",ROUND(D1145*$P$14/12,2))</x:f>
      </x:c>
      <x:c r="F1145" s="88" t="str">
        <x:f>IF(C1145="","",MIN(D1145+E1145,$Q$14))</x:f>
      </x:c>
      <x:c r="G1145" s="88" t="str">
        <x:f>IF(C1145="","",MIN(MAX(0,D1145+E1145-F1145),SUMIFS(SONDERZAHLUNGEN!$E$9:$E$128,SONDERZAHLUNGEN!$B$9:$B$128,C1145,SONDERZAHLUNGEN!$C$9:$C$128,A1145,SONDERZAHLUNGEN!$H$9:$H$128,"OK",SONDERZAHLUNGEN!$F$9:$F$128,"Ja")))</x:f>
      </x:c>
      <x:c r="H1145" s="88" t="str">
        <x:f>IF(C1145="","",MIN(MAX(0,D1145+E1145-F1145-G1145),MAX(0,IF(MONATSBUDGET!$C$64="",0,MONATSBUDGET!$C$64)-SUM(F1140:F1159)-SUM(H1140:H1144))))</x:f>
      </x:c>
      <x:c r="I1145" s="88" t="str">
        <x:f>IF(C1145="","",MAX(0,ROUND(D1145+E1145-F1145-G1145-H1145,2)))</x:f>
      </x:c>
      <x:c r="J1145" s="88" t="str">
        <x:f>IF(C1145="","",F1145+G1145+H1145)</x:f>
      </x:c>
      <x:c r="K1145" s="88" t="str">
        <x:f>IF(C1145="","",MAX(0,SUMIFS(SONDERZAHLUNGEN!$E$9:$E$128,SONDERZAHLUNGEN!$B$9:$B$128,C1145,SONDERZAHLUNGEN!$C$9:$C$128,A1145,SONDERZAHLUNGEN!$H$9:$H$128,"OK",SONDERZAHLUNGEN!$F$9:$F$128,"Ja")-G1145))</x:f>
      </x:c>
    </x:row>
    <x:row r="1146" ht="19" customHeight="1">
      <x:c r="A1146" s="90" t="n">
        <x:f>MONATSBUDGET!$A$64</x:f>
        <x:v>47939</x:v>
      </x:c>
      <x:c r="B1146" t="n">
        <x:f>7</x:f>
        <x:v>7</x:v>
      </x:c>
      <x:c r="C1146" t="str">
        <x:f>IF($N$15="","",$N$15)</x:f>
      </x:c>
      <x:c r="D1146" s="88" t="str">
        <x:f>IF(C1146="","",I1126)</x:f>
      </x:c>
      <x:c r="E1146" s="88" t="str">
        <x:f>IF(C1146="","",ROUND(D1146*$P$15/12,2))</x:f>
      </x:c>
      <x:c r="F1146" s="88" t="str">
        <x:f>IF(C1146="","",MIN(D1146+E1146,$Q$15))</x:f>
      </x:c>
      <x:c r="G1146" s="88" t="str">
        <x:f>IF(C1146="","",MIN(MAX(0,D1146+E1146-F1146),SUMIFS(SONDERZAHLUNGEN!$E$9:$E$128,SONDERZAHLUNGEN!$B$9:$B$128,C1146,SONDERZAHLUNGEN!$C$9:$C$128,A1146,SONDERZAHLUNGEN!$H$9:$H$128,"OK",SONDERZAHLUNGEN!$F$9:$F$128,"Ja")))</x:f>
      </x:c>
      <x:c r="H1146" s="88" t="str">
        <x:f>IF(C1146="","",MIN(MAX(0,D1146+E1146-F1146-G1146),MAX(0,IF(MONATSBUDGET!$C$64="",0,MONATSBUDGET!$C$64)-SUM(F1140:F1159)-SUM(H1140:H1145))))</x:f>
      </x:c>
      <x:c r="I1146" s="88" t="str">
        <x:f>IF(C1146="","",MAX(0,ROUND(D1146+E1146-F1146-G1146-H1146,2)))</x:f>
      </x:c>
      <x:c r="J1146" s="88" t="str">
        <x:f>IF(C1146="","",F1146+G1146+H1146)</x:f>
      </x:c>
      <x:c r="K1146" s="88" t="str">
        <x:f>IF(C1146="","",MAX(0,SUMIFS(SONDERZAHLUNGEN!$E$9:$E$128,SONDERZAHLUNGEN!$B$9:$B$128,C1146,SONDERZAHLUNGEN!$C$9:$C$128,A1146,SONDERZAHLUNGEN!$H$9:$H$128,"OK",SONDERZAHLUNGEN!$F$9:$F$128,"Ja")-G1146))</x:f>
      </x:c>
    </x:row>
    <x:row r="1147" ht="19" customHeight="1">
      <x:c r="A1147" s="90" t="n">
        <x:f>MONATSBUDGET!$A$64</x:f>
        <x:v>47939</x:v>
      </x:c>
      <x:c r="B1147" t="n">
        <x:f>8</x:f>
        <x:v>8</x:v>
      </x:c>
      <x:c r="C1147" t="str">
        <x:f>IF($N$16="","",$N$16)</x:f>
      </x:c>
      <x:c r="D1147" s="88" t="str">
        <x:f>IF(C1147="","",I1127)</x:f>
      </x:c>
      <x:c r="E1147" s="88" t="str">
        <x:f>IF(C1147="","",ROUND(D1147*$P$16/12,2))</x:f>
      </x:c>
      <x:c r="F1147" s="88" t="str">
        <x:f>IF(C1147="","",MIN(D1147+E1147,$Q$16))</x:f>
      </x:c>
      <x:c r="G1147" s="88" t="str">
        <x:f>IF(C1147="","",MIN(MAX(0,D1147+E1147-F1147),SUMIFS(SONDERZAHLUNGEN!$E$9:$E$128,SONDERZAHLUNGEN!$B$9:$B$128,C1147,SONDERZAHLUNGEN!$C$9:$C$128,A1147,SONDERZAHLUNGEN!$H$9:$H$128,"OK",SONDERZAHLUNGEN!$F$9:$F$128,"Ja")))</x:f>
      </x:c>
      <x:c r="H1147" s="88" t="str">
        <x:f>IF(C1147="","",MIN(MAX(0,D1147+E1147-F1147-G1147),MAX(0,IF(MONATSBUDGET!$C$64="",0,MONATSBUDGET!$C$64)-SUM(F1140:F1159)-SUM(H1140:H1146))))</x:f>
      </x:c>
      <x:c r="I1147" s="88" t="str">
        <x:f>IF(C1147="","",MAX(0,ROUND(D1147+E1147-F1147-G1147-H1147,2)))</x:f>
      </x:c>
      <x:c r="J1147" s="88" t="str">
        <x:f>IF(C1147="","",F1147+G1147+H1147)</x:f>
      </x:c>
      <x:c r="K1147" s="88" t="str">
        <x:f>IF(C1147="","",MAX(0,SUMIFS(SONDERZAHLUNGEN!$E$9:$E$128,SONDERZAHLUNGEN!$B$9:$B$128,C1147,SONDERZAHLUNGEN!$C$9:$C$128,A1147,SONDERZAHLUNGEN!$H$9:$H$128,"OK",SONDERZAHLUNGEN!$F$9:$F$128,"Ja")-G1147))</x:f>
      </x:c>
    </x:row>
    <x:row r="1148" ht="19" customHeight="1">
      <x:c r="A1148" s="90" t="n">
        <x:f>MONATSBUDGET!$A$64</x:f>
        <x:v>47939</x:v>
      </x:c>
      <x:c r="B1148" t="n">
        <x:f>9</x:f>
        <x:v>9</x:v>
      </x:c>
      <x:c r="C1148" t="str">
        <x:f>IF($N$17="","",$N$17)</x:f>
      </x:c>
      <x:c r="D1148" s="88" t="str">
        <x:f>IF(C1148="","",I1128)</x:f>
      </x:c>
      <x:c r="E1148" s="88" t="str">
        <x:f>IF(C1148="","",ROUND(D1148*$P$17/12,2))</x:f>
      </x:c>
      <x:c r="F1148" s="88" t="str">
        <x:f>IF(C1148="","",MIN(D1148+E1148,$Q$17))</x:f>
      </x:c>
      <x:c r="G1148" s="88" t="str">
        <x:f>IF(C1148="","",MIN(MAX(0,D1148+E1148-F1148),SUMIFS(SONDERZAHLUNGEN!$E$9:$E$128,SONDERZAHLUNGEN!$B$9:$B$128,C1148,SONDERZAHLUNGEN!$C$9:$C$128,A1148,SONDERZAHLUNGEN!$H$9:$H$128,"OK",SONDERZAHLUNGEN!$F$9:$F$128,"Ja")))</x:f>
      </x:c>
      <x:c r="H1148" s="88" t="str">
        <x:f>IF(C1148="","",MIN(MAX(0,D1148+E1148-F1148-G1148),MAX(0,IF(MONATSBUDGET!$C$64="",0,MONATSBUDGET!$C$64)-SUM(F1140:F1159)-SUM(H1140:H1147))))</x:f>
      </x:c>
      <x:c r="I1148" s="88" t="str">
        <x:f>IF(C1148="","",MAX(0,ROUND(D1148+E1148-F1148-G1148-H1148,2)))</x:f>
      </x:c>
      <x:c r="J1148" s="88" t="str">
        <x:f>IF(C1148="","",F1148+G1148+H1148)</x:f>
      </x:c>
      <x:c r="K1148" s="88" t="str">
        <x:f>IF(C1148="","",MAX(0,SUMIFS(SONDERZAHLUNGEN!$E$9:$E$128,SONDERZAHLUNGEN!$B$9:$B$128,C1148,SONDERZAHLUNGEN!$C$9:$C$128,A1148,SONDERZAHLUNGEN!$H$9:$H$128,"OK",SONDERZAHLUNGEN!$F$9:$F$128,"Ja")-G1148))</x:f>
      </x:c>
    </x:row>
    <x:row r="1149" ht="19" customHeight="1">
      <x:c r="A1149" s="90" t="n">
        <x:f>MONATSBUDGET!$A$64</x:f>
        <x:v>47939</x:v>
      </x:c>
      <x:c r="B1149" t="n">
        <x:f>10</x:f>
        <x:v>10</x:v>
      </x:c>
      <x:c r="C1149" t="str">
        <x:f>IF($N$18="","",$N$18)</x:f>
      </x:c>
      <x:c r="D1149" s="88" t="str">
        <x:f>IF(C1149="","",I1129)</x:f>
      </x:c>
      <x:c r="E1149" s="88" t="str">
        <x:f>IF(C1149="","",ROUND(D1149*$P$18/12,2))</x:f>
      </x:c>
      <x:c r="F1149" s="88" t="str">
        <x:f>IF(C1149="","",MIN(D1149+E1149,$Q$18))</x:f>
      </x:c>
      <x:c r="G1149" s="88" t="str">
        <x:f>IF(C1149="","",MIN(MAX(0,D1149+E1149-F1149),SUMIFS(SONDERZAHLUNGEN!$E$9:$E$128,SONDERZAHLUNGEN!$B$9:$B$128,C1149,SONDERZAHLUNGEN!$C$9:$C$128,A1149,SONDERZAHLUNGEN!$H$9:$H$128,"OK",SONDERZAHLUNGEN!$F$9:$F$128,"Ja")))</x:f>
      </x:c>
      <x:c r="H1149" s="88" t="str">
        <x:f>IF(C1149="","",MIN(MAX(0,D1149+E1149-F1149-G1149),MAX(0,IF(MONATSBUDGET!$C$64="",0,MONATSBUDGET!$C$64)-SUM(F1140:F1159)-SUM(H1140:H1148))))</x:f>
      </x:c>
      <x:c r="I1149" s="88" t="str">
        <x:f>IF(C1149="","",MAX(0,ROUND(D1149+E1149-F1149-G1149-H1149,2)))</x:f>
      </x:c>
      <x:c r="J1149" s="88" t="str">
        <x:f>IF(C1149="","",F1149+G1149+H1149)</x:f>
      </x:c>
      <x:c r="K1149" s="88" t="str">
        <x:f>IF(C1149="","",MAX(0,SUMIFS(SONDERZAHLUNGEN!$E$9:$E$128,SONDERZAHLUNGEN!$B$9:$B$128,C1149,SONDERZAHLUNGEN!$C$9:$C$128,A1149,SONDERZAHLUNGEN!$H$9:$H$128,"OK",SONDERZAHLUNGEN!$F$9:$F$128,"Ja")-G1149))</x:f>
      </x:c>
    </x:row>
    <x:row r="1150" ht="19" customHeight="1">
      <x:c r="A1150" s="90" t="n">
        <x:f>MONATSBUDGET!$A$64</x:f>
        <x:v>47939</x:v>
      </x:c>
      <x:c r="B1150" t="n">
        <x:f>11</x:f>
        <x:v>11</x:v>
      </x:c>
      <x:c r="C1150" t="str">
        <x:f>IF($N$19="","",$N$19)</x:f>
      </x:c>
      <x:c r="D1150" s="88" t="str">
        <x:f>IF(C1150="","",I1130)</x:f>
      </x:c>
      <x:c r="E1150" s="88" t="str">
        <x:f>IF(C1150="","",ROUND(D1150*$P$19/12,2))</x:f>
      </x:c>
      <x:c r="F1150" s="88" t="str">
        <x:f>IF(C1150="","",MIN(D1150+E1150,$Q$19))</x:f>
      </x:c>
      <x:c r="G1150" s="88" t="str">
        <x:f>IF(C1150="","",MIN(MAX(0,D1150+E1150-F1150),SUMIFS(SONDERZAHLUNGEN!$E$9:$E$128,SONDERZAHLUNGEN!$B$9:$B$128,C1150,SONDERZAHLUNGEN!$C$9:$C$128,A1150,SONDERZAHLUNGEN!$H$9:$H$128,"OK",SONDERZAHLUNGEN!$F$9:$F$128,"Ja")))</x:f>
      </x:c>
      <x:c r="H1150" s="88" t="str">
        <x:f>IF(C1150="","",MIN(MAX(0,D1150+E1150-F1150-G1150),MAX(0,IF(MONATSBUDGET!$C$64="",0,MONATSBUDGET!$C$64)-SUM(F1140:F1159)-SUM(H1140:H1149))))</x:f>
      </x:c>
      <x:c r="I1150" s="88" t="str">
        <x:f>IF(C1150="","",MAX(0,ROUND(D1150+E1150-F1150-G1150-H1150,2)))</x:f>
      </x:c>
      <x:c r="J1150" s="88" t="str">
        <x:f>IF(C1150="","",F1150+G1150+H1150)</x:f>
      </x:c>
      <x:c r="K1150" s="88" t="str">
        <x:f>IF(C1150="","",MAX(0,SUMIFS(SONDERZAHLUNGEN!$E$9:$E$128,SONDERZAHLUNGEN!$B$9:$B$128,C1150,SONDERZAHLUNGEN!$C$9:$C$128,A1150,SONDERZAHLUNGEN!$H$9:$H$128,"OK",SONDERZAHLUNGEN!$F$9:$F$128,"Ja")-G1150))</x:f>
      </x:c>
    </x:row>
    <x:row r="1151" ht="19" customHeight="1">
      <x:c r="A1151" s="90" t="n">
        <x:f>MONATSBUDGET!$A$64</x:f>
        <x:v>47939</x:v>
      </x:c>
      <x:c r="B1151" t="n">
        <x:f>12</x:f>
        <x:v>12</x:v>
      </x:c>
      <x:c r="C1151" t="str">
        <x:f>IF($N$20="","",$N$20)</x:f>
      </x:c>
      <x:c r="D1151" s="88" t="str">
        <x:f>IF(C1151="","",I1131)</x:f>
      </x:c>
      <x:c r="E1151" s="88" t="str">
        <x:f>IF(C1151="","",ROUND(D1151*$P$20/12,2))</x:f>
      </x:c>
      <x:c r="F1151" s="88" t="str">
        <x:f>IF(C1151="","",MIN(D1151+E1151,$Q$20))</x:f>
      </x:c>
      <x:c r="G1151" s="88" t="str">
        <x:f>IF(C1151="","",MIN(MAX(0,D1151+E1151-F1151),SUMIFS(SONDERZAHLUNGEN!$E$9:$E$128,SONDERZAHLUNGEN!$B$9:$B$128,C1151,SONDERZAHLUNGEN!$C$9:$C$128,A1151,SONDERZAHLUNGEN!$H$9:$H$128,"OK",SONDERZAHLUNGEN!$F$9:$F$128,"Ja")))</x:f>
      </x:c>
      <x:c r="H1151" s="88" t="str">
        <x:f>IF(C1151="","",MIN(MAX(0,D1151+E1151-F1151-G1151),MAX(0,IF(MONATSBUDGET!$C$64="",0,MONATSBUDGET!$C$64)-SUM(F1140:F1159)-SUM(H1140:H1150))))</x:f>
      </x:c>
      <x:c r="I1151" s="88" t="str">
        <x:f>IF(C1151="","",MAX(0,ROUND(D1151+E1151-F1151-G1151-H1151,2)))</x:f>
      </x:c>
      <x:c r="J1151" s="88" t="str">
        <x:f>IF(C1151="","",F1151+G1151+H1151)</x:f>
      </x:c>
      <x:c r="K1151" s="88" t="str">
        <x:f>IF(C1151="","",MAX(0,SUMIFS(SONDERZAHLUNGEN!$E$9:$E$128,SONDERZAHLUNGEN!$B$9:$B$128,C1151,SONDERZAHLUNGEN!$C$9:$C$128,A1151,SONDERZAHLUNGEN!$H$9:$H$128,"OK",SONDERZAHLUNGEN!$F$9:$F$128,"Ja")-G1151))</x:f>
      </x:c>
    </x:row>
    <x:row r="1152" ht="19" customHeight="1">
      <x:c r="A1152" s="90" t="n">
        <x:f>MONATSBUDGET!$A$64</x:f>
        <x:v>47939</x:v>
      </x:c>
      <x:c r="B1152" t="n">
        <x:f>13</x:f>
        <x:v>13</x:v>
      </x:c>
      <x:c r="C1152" t="str">
        <x:f>IF($N$21="","",$N$21)</x:f>
      </x:c>
      <x:c r="D1152" s="88" t="str">
        <x:f>IF(C1152="","",I1132)</x:f>
      </x:c>
      <x:c r="E1152" s="88" t="str">
        <x:f>IF(C1152="","",ROUND(D1152*$P$21/12,2))</x:f>
      </x:c>
      <x:c r="F1152" s="88" t="str">
        <x:f>IF(C1152="","",MIN(D1152+E1152,$Q$21))</x:f>
      </x:c>
      <x:c r="G1152" s="88" t="str">
        <x:f>IF(C1152="","",MIN(MAX(0,D1152+E1152-F1152),SUMIFS(SONDERZAHLUNGEN!$E$9:$E$128,SONDERZAHLUNGEN!$B$9:$B$128,C1152,SONDERZAHLUNGEN!$C$9:$C$128,A1152,SONDERZAHLUNGEN!$H$9:$H$128,"OK",SONDERZAHLUNGEN!$F$9:$F$128,"Ja")))</x:f>
      </x:c>
      <x:c r="H1152" s="88" t="str">
        <x:f>IF(C1152="","",MIN(MAX(0,D1152+E1152-F1152-G1152),MAX(0,IF(MONATSBUDGET!$C$64="",0,MONATSBUDGET!$C$64)-SUM(F1140:F1159)-SUM(H1140:H1151))))</x:f>
      </x:c>
      <x:c r="I1152" s="88" t="str">
        <x:f>IF(C1152="","",MAX(0,ROUND(D1152+E1152-F1152-G1152-H1152,2)))</x:f>
      </x:c>
      <x:c r="J1152" s="88" t="str">
        <x:f>IF(C1152="","",F1152+G1152+H1152)</x:f>
      </x:c>
      <x:c r="K1152" s="88" t="str">
        <x:f>IF(C1152="","",MAX(0,SUMIFS(SONDERZAHLUNGEN!$E$9:$E$128,SONDERZAHLUNGEN!$B$9:$B$128,C1152,SONDERZAHLUNGEN!$C$9:$C$128,A1152,SONDERZAHLUNGEN!$H$9:$H$128,"OK",SONDERZAHLUNGEN!$F$9:$F$128,"Ja")-G1152))</x:f>
      </x:c>
    </x:row>
    <x:row r="1153" ht="19" customHeight="1">
      <x:c r="A1153" s="90" t="n">
        <x:f>MONATSBUDGET!$A$64</x:f>
        <x:v>47939</x:v>
      </x:c>
      <x:c r="B1153" t="n">
        <x:f>14</x:f>
        <x:v>14</x:v>
      </x:c>
      <x:c r="C1153" t="str">
        <x:f>IF($N$22="","",$N$22)</x:f>
      </x:c>
      <x:c r="D1153" s="88" t="str">
        <x:f>IF(C1153="","",I1133)</x:f>
      </x:c>
      <x:c r="E1153" s="88" t="str">
        <x:f>IF(C1153="","",ROUND(D1153*$P$22/12,2))</x:f>
      </x:c>
      <x:c r="F1153" s="88" t="str">
        <x:f>IF(C1153="","",MIN(D1153+E1153,$Q$22))</x:f>
      </x:c>
      <x:c r="G1153" s="88" t="str">
        <x:f>IF(C1153="","",MIN(MAX(0,D1153+E1153-F1153),SUMIFS(SONDERZAHLUNGEN!$E$9:$E$128,SONDERZAHLUNGEN!$B$9:$B$128,C1153,SONDERZAHLUNGEN!$C$9:$C$128,A1153,SONDERZAHLUNGEN!$H$9:$H$128,"OK",SONDERZAHLUNGEN!$F$9:$F$128,"Ja")))</x:f>
      </x:c>
      <x:c r="H1153" s="88" t="str">
        <x:f>IF(C1153="","",MIN(MAX(0,D1153+E1153-F1153-G1153),MAX(0,IF(MONATSBUDGET!$C$64="",0,MONATSBUDGET!$C$64)-SUM(F1140:F1159)-SUM(H1140:H1152))))</x:f>
      </x:c>
      <x:c r="I1153" s="88" t="str">
        <x:f>IF(C1153="","",MAX(0,ROUND(D1153+E1153-F1153-G1153-H1153,2)))</x:f>
      </x:c>
      <x:c r="J1153" s="88" t="str">
        <x:f>IF(C1153="","",F1153+G1153+H1153)</x:f>
      </x:c>
      <x:c r="K1153" s="88" t="str">
        <x:f>IF(C1153="","",MAX(0,SUMIFS(SONDERZAHLUNGEN!$E$9:$E$128,SONDERZAHLUNGEN!$B$9:$B$128,C1153,SONDERZAHLUNGEN!$C$9:$C$128,A1153,SONDERZAHLUNGEN!$H$9:$H$128,"OK",SONDERZAHLUNGEN!$F$9:$F$128,"Ja")-G1153))</x:f>
      </x:c>
    </x:row>
    <x:row r="1154" ht="19" customHeight="1">
      <x:c r="A1154" s="90" t="n">
        <x:f>MONATSBUDGET!$A$64</x:f>
        <x:v>47939</x:v>
      </x:c>
      <x:c r="B1154" t="n">
        <x:f>15</x:f>
        <x:v>15</x:v>
      </x:c>
      <x:c r="C1154" t="str">
        <x:f>IF($N$23="","",$N$23)</x:f>
      </x:c>
      <x:c r="D1154" s="88" t="str">
        <x:f>IF(C1154="","",I1134)</x:f>
      </x:c>
      <x:c r="E1154" s="88" t="str">
        <x:f>IF(C1154="","",ROUND(D1154*$P$23/12,2))</x:f>
      </x:c>
      <x:c r="F1154" s="88" t="str">
        <x:f>IF(C1154="","",MIN(D1154+E1154,$Q$23))</x:f>
      </x:c>
      <x:c r="G1154" s="88" t="str">
        <x:f>IF(C1154="","",MIN(MAX(0,D1154+E1154-F1154),SUMIFS(SONDERZAHLUNGEN!$E$9:$E$128,SONDERZAHLUNGEN!$B$9:$B$128,C1154,SONDERZAHLUNGEN!$C$9:$C$128,A1154,SONDERZAHLUNGEN!$H$9:$H$128,"OK",SONDERZAHLUNGEN!$F$9:$F$128,"Ja")))</x:f>
      </x:c>
      <x:c r="H1154" s="88" t="str">
        <x:f>IF(C1154="","",MIN(MAX(0,D1154+E1154-F1154-G1154),MAX(0,IF(MONATSBUDGET!$C$64="",0,MONATSBUDGET!$C$64)-SUM(F1140:F1159)-SUM(H1140:H1153))))</x:f>
      </x:c>
      <x:c r="I1154" s="88" t="str">
        <x:f>IF(C1154="","",MAX(0,ROUND(D1154+E1154-F1154-G1154-H1154,2)))</x:f>
      </x:c>
      <x:c r="J1154" s="88" t="str">
        <x:f>IF(C1154="","",F1154+G1154+H1154)</x:f>
      </x:c>
      <x:c r="K1154" s="88" t="str">
        <x:f>IF(C1154="","",MAX(0,SUMIFS(SONDERZAHLUNGEN!$E$9:$E$128,SONDERZAHLUNGEN!$B$9:$B$128,C1154,SONDERZAHLUNGEN!$C$9:$C$128,A1154,SONDERZAHLUNGEN!$H$9:$H$128,"OK",SONDERZAHLUNGEN!$F$9:$F$128,"Ja")-G1154))</x:f>
      </x:c>
    </x:row>
    <x:row r="1155" ht="19" customHeight="1">
      <x:c r="A1155" s="90" t="n">
        <x:f>MONATSBUDGET!$A$64</x:f>
        <x:v>47939</x:v>
      </x:c>
      <x:c r="B1155" t="n">
        <x:f>16</x:f>
        <x:v>16</x:v>
      </x:c>
      <x:c r="C1155" t="str">
        <x:f>IF($N$24="","",$N$24)</x:f>
      </x:c>
      <x:c r="D1155" s="88" t="str">
        <x:f>IF(C1155="","",I1135)</x:f>
      </x:c>
      <x:c r="E1155" s="88" t="str">
        <x:f>IF(C1155="","",ROUND(D1155*$P$24/12,2))</x:f>
      </x:c>
      <x:c r="F1155" s="88" t="str">
        <x:f>IF(C1155="","",MIN(D1155+E1155,$Q$24))</x:f>
      </x:c>
      <x:c r="G1155" s="88" t="str">
        <x:f>IF(C1155="","",MIN(MAX(0,D1155+E1155-F1155),SUMIFS(SONDERZAHLUNGEN!$E$9:$E$128,SONDERZAHLUNGEN!$B$9:$B$128,C1155,SONDERZAHLUNGEN!$C$9:$C$128,A1155,SONDERZAHLUNGEN!$H$9:$H$128,"OK",SONDERZAHLUNGEN!$F$9:$F$128,"Ja")))</x:f>
      </x:c>
      <x:c r="H1155" s="88" t="str">
        <x:f>IF(C1155="","",MIN(MAX(0,D1155+E1155-F1155-G1155),MAX(0,IF(MONATSBUDGET!$C$64="",0,MONATSBUDGET!$C$64)-SUM(F1140:F1159)-SUM(H1140:H1154))))</x:f>
      </x:c>
      <x:c r="I1155" s="88" t="str">
        <x:f>IF(C1155="","",MAX(0,ROUND(D1155+E1155-F1155-G1155-H1155,2)))</x:f>
      </x:c>
      <x:c r="J1155" s="88" t="str">
        <x:f>IF(C1155="","",F1155+G1155+H1155)</x:f>
      </x:c>
      <x:c r="K1155" s="88" t="str">
        <x:f>IF(C1155="","",MAX(0,SUMIFS(SONDERZAHLUNGEN!$E$9:$E$128,SONDERZAHLUNGEN!$B$9:$B$128,C1155,SONDERZAHLUNGEN!$C$9:$C$128,A1155,SONDERZAHLUNGEN!$H$9:$H$128,"OK",SONDERZAHLUNGEN!$F$9:$F$128,"Ja")-G1155))</x:f>
      </x:c>
    </x:row>
    <x:row r="1156" ht="19" customHeight="1">
      <x:c r="A1156" s="90" t="n">
        <x:f>MONATSBUDGET!$A$64</x:f>
        <x:v>47939</x:v>
      </x:c>
      <x:c r="B1156" t="n">
        <x:f>17</x:f>
        <x:v>17</x:v>
      </x:c>
      <x:c r="C1156" t="str">
        <x:f>IF($N$25="","",$N$25)</x:f>
      </x:c>
      <x:c r="D1156" s="88" t="str">
        <x:f>IF(C1156="","",I1136)</x:f>
      </x:c>
      <x:c r="E1156" s="88" t="str">
        <x:f>IF(C1156="","",ROUND(D1156*$P$25/12,2))</x:f>
      </x:c>
      <x:c r="F1156" s="88" t="str">
        <x:f>IF(C1156="","",MIN(D1156+E1156,$Q$25))</x:f>
      </x:c>
      <x:c r="G1156" s="88" t="str">
        <x:f>IF(C1156="","",MIN(MAX(0,D1156+E1156-F1156),SUMIFS(SONDERZAHLUNGEN!$E$9:$E$128,SONDERZAHLUNGEN!$B$9:$B$128,C1156,SONDERZAHLUNGEN!$C$9:$C$128,A1156,SONDERZAHLUNGEN!$H$9:$H$128,"OK",SONDERZAHLUNGEN!$F$9:$F$128,"Ja")))</x:f>
      </x:c>
      <x:c r="H1156" s="88" t="str">
        <x:f>IF(C1156="","",MIN(MAX(0,D1156+E1156-F1156-G1156),MAX(0,IF(MONATSBUDGET!$C$64="",0,MONATSBUDGET!$C$64)-SUM(F1140:F1159)-SUM(H1140:H1155))))</x:f>
      </x:c>
      <x:c r="I1156" s="88" t="str">
        <x:f>IF(C1156="","",MAX(0,ROUND(D1156+E1156-F1156-G1156-H1156,2)))</x:f>
      </x:c>
      <x:c r="J1156" s="88" t="str">
        <x:f>IF(C1156="","",F1156+G1156+H1156)</x:f>
      </x:c>
      <x:c r="K1156" s="88" t="str">
        <x:f>IF(C1156="","",MAX(0,SUMIFS(SONDERZAHLUNGEN!$E$9:$E$128,SONDERZAHLUNGEN!$B$9:$B$128,C1156,SONDERZAHLUNGEN!$C$9:$C$128,A1156,SONDERZAHLUNGEN!$H$9:$H$128,"OK",SONDERZAHLUNGEN!$F$9:$F$128,"Ja")-G1156))</x:f>
      </x:c>
    </x:row>
    <x:row r="1157" ht="19" customHeight="1">
      <x:c r="A1157" s="90" t="n">
        <x:f>MONATSBUDGET!$A$64</x:f>
        <x:v>47939</x:v>
      </x:c>
      <x:c r="B1157" t="n">
        <x:f>18</x:f>
        <x:v>18</x:v>
      </x:c>
      <x:c r="C1157" t="str">
        <x:f>IF($N$26="","",$N$26)</x:f>
      </x:c>
      <x:c r="D1157" s="88" t="str">
        <x:f>IF(C1157="","",I1137)</x:f>
      </x:c>
      <x:c r="E1157" s="88" t="str">
        <x:f>IF(C1157="","",ROUND(D1157*$P$26/12,2))</x:f>
      </x:c>
      <x:c r="F1157" s="88" t="str">
        <x:f>IF(C1157="","",MIN(D1157+E1157,$Q$26))</x:f>
      </x:c>
      <x:c r="G1157" s="88" t="str">
        <x:f>IF(C1157="","",MIN(MAX(0,D1157+E1157-F1157),SUMIFS(SONDERZAHLUNGEN!$E$9:$E$128,SONDERZAHLUNGEN!$B$9:$B$128,C1157,SONDERZAHLUNGEN!$C$9:$C$128,A1157,SONDERZAHLUNGEN!$H$9:$H$128,"OK",SONDERZAHLUNGEN!$F$9:$F$128,"Ja")))</x:f>
      </x:c>
      <x:c r="H1157" s="88" t="str">
        <x:f>IF(C1157="","",MIN(MAX(0,D1157+E1157-F1157-G1157),MAX(0,IF(MONATSBUDGET!$C$64="",0,MONATSBUDGET!$C$64)-SUM(F1140:F1159)-SUM(H1140:H1156))))</x:f>
      </x:c>
      <x:c r="I1157" s="88" t="str">
        <x:f>IF(C1157="","",MAX(0,ROUND(D1157+E1157-F1157-G1157-H1157,2)))</x:f>
      </x:c>
      <x:c r="J1157" s="88" t="str">
        <x:f>IF(C1157="","",F1157+G1157+H1157)</x:f>
      </x:c>
      <x:c r="K1157" s="88" t="str">
        <x:f>IF(C1157="","",MAX(0,SUMIFS(SONDERZAHLUNGEN!$E$9:$E$128,SONDERZAHLUNGEN!$B$9:$B$128,C1157,SONDERZAHLUNGEN!$C$9:$C$128,A1157,SONDERZAHLUNGEN!$H$9:$H$128,"OK",SONDERZAHLUNGEN!$F$9:$F$128,"Ja")-G1157))</x:f>
      </x:c>
    </x:row>
    <x:row r="1158" ht="19" customHeight="1">
      <x:c r="A1158" s="90" t="n">
        <x:f>MONATSBUDGET!$A$64</x:f>
        <x:v>47939</x:v>
      </x:c>
      <x:c r="B1158" t="n">
        <x:f>19</x:f>
        <x:v>19</x:v>
      </x:c>
      <x:c r="C1158" t="str">
        <x:f>IF($N$27="","",$N$27)</x:f>
      </x:c>
      <x:c r="D1158" s="88" t="str">
        <x:f>IF(C1158="","",I1138)</x:f>
      </x:c>
      <x:c r="E1158" s="88" t="str">
        <x:f>IF(C1158="","",ROUND(D1158*$P$27/12,2))</x:f>
      </x:c>
      <x:c r="F1158" s="88" t="str">
        <x:f>IF(C1158="","",MIN(D1158+E1158,$Q$27))</x:f>
      </x:c>
      <x:c r="G1158" s="88" t="str">
        <x:f>IF(C1158="","",MIN(MAX(0,D1158+E1158-F1158),SUMIFS(SONDERZAHLUNGEN!$E$9:$E$128,SONDERZAHLUNGEN!$B$9:$B$128,C1158,SONDERZAHLUNGEN!$C$9:$C$128,A1158,SONDERZAHLUNGEN!$H$9:$H$128,"OK",SONDERZAHLUNGEN!$F$9:$F$128,"Ja")))</x:f>
      </x:c>
      <x:c r="H1158" s="88" t="str">
        <x:f>IF(C1158="","",MIN(MAX(0,D1158+E1158-F1158-G1158),MAX(0,IF(MONATSBUDGET!$C$64="",0,MONATSBUDGET!$C$64)-SUM(F1140:F1159)-SUM(H1140:H1157))))</x:f>
      </x:c>
      <x:c r="I1158" s="88" t="str">
        <x:f>IF(C1158="","",MAX(0,ROUND(D1158+E1158-F1158-G1158-H1158,2)))</x:f>
      </x:c>
      <x:c r="J1158" s="88" t="str">
        <x:f>IF(C1158="","",F1158+G1158+H1158)</x:f>
      </x:c>
      <x:c r="K1158" s="88" t="str">
        <x:f>IF(C1158="","",MAX(0,SUMIFS(SONDERZAHLUNGEN!$E$9:$E$128,SONDERZAHLUNGEN!$B$9:$B$128,C1158,SONDERZAHLUNGEN!$C$9:$C$128,A1158,SONDERZAHLUNGEN!$H$9:$H$128,"OK",SONDERZAHLUNGEN!$F$9:$F$128,"Ja")-G1158))</x:f>
      </x:c>
    </x:row>
    <x:row r="1159" ht="19" customHeight="1">
      <x:c r="A1159" s="90" t="n">
        <x:f>MONATSBUDGET!$A$64</x:f>
        <x:v>47939</x:v>
      </x:c>
      <x:c r="B1159" t="n">
        <x:f>20</x:f>
        <x:v>20</x:v>
      </x:c>
      <x:c r="C1159" t="str">
        <x:f>IF($N$28="","",$N$28)</x:f>
      </x:c>
      <x:c r="D1159" s="88" t="str">
        <x:f>IF(C1159="","",I1139)</x:f>
      </x:c>
      <x:c r="E1159" s="88" t="str">
        <x:f>IF(C1159="","",ROUND(D1159*$P$28/12,2))</x:f>
      </x:c>
      <x:c r="F1159" s="88" t="str">
        <x:f>IF(C1159="","",MIN(D1159+E1159,$Q$28))</x:f>
      </x:c>
      <x:c r="G1159" s="88" t="str">
        <x:f>IF(C1159="","",MIN(MAX(0,D1159+E1159-F1159),SUMIFS(SONDERZAHLUNGEN!$E$9:$E$128,SONDERZAHLUNGEN!$B$9:$B$128,C1159,SONDERZAHLUNGEN!$C$9:$C$128,A1159,SONDERZAHLUNGEN!$H$9:$H$128,"OK",SONDERZAHLUNGEN!$F$9:$F$128,"Ja")))</x:f>
      </x:c>
      <x:c r="H1159" s="88" t="str">
        <x:f>IF(C1159="","",MIN(MAX(0,D1159+E1159-F1159-G1159),MAX(0,IF(MONATSBUDGET!$C$64="",0,MONATSBUDGET!$C$64)-SUM(F1140:F1159)-SUM(H1140:H1158))))</x:f>
      </x:c>
      <x:c r="I1159" s="88" t="str">
        <x:f>IF(C1159="","",MAX(0,ROUND(D1159+E1159-F1159-G1159-H1159,2)))</x:f>
      </x:c>
      <x:c r="J1159" s="88" t="str">
        <x:f>IF(C1159="","",F1159+G1159+H1159)</x:f>
      </x:c>
      <x:c r="K1159" s="88" t="str">
        <x:f>IF(C1159="","",MAX(0,SUMIFS(SONDERZAHLUNGEN!$E$9:$E$128,SONDERZAHLUNGEN!$B$9:$B$128,C1159,SONDERZAHLUNGEN!$C$9:$C$128,A1159,SONDERZAHLUNGEN!$H$9:$H$128,"OK",SONDERZAHLUNGEN!$F$9:$F$128,"Ja")-G1159))</x:f>
      </x:c>
    </x:row>
    <x:row r="1160" ht="19" customHeight="1">
      <x:c r="A1160" s="90" t="n">
        <x:f>MONATSBUDGET!$A$65</x:f>
        <x:v>47969</x:v>
      </x:c>
      <x:c r="B1160" t="n">
        <x:f>1</x:f>
        <x:v>1</x:v>
      </x:c>
      <x:c r="C1160" t="str">
        <x:f>IF($N$9="","",$N$9)</x:f>
      </x:c>
      <x:c r="D1160" s="88" t="str">
        <x:f>IF(C1160="","",I1140)</x:f>
      </x:c>
      <x:c r="E1160" s="88" t="str">
        <x:f>IF(C1160="","",ROUND(D1160*$P$9/12,2))</x:f>
      </x:c>
      <x:c r="F1160" s="88" t="str">
        <x:f>IF(C1160="","",MIN(D1160+E1160,$Q$9))</x:f>
      </x:c>
      <x:c r="G1160" s="88" t="str">
        <x:f>IF(C1160="","",MIN(MAX(0,D1160+E1160-F1160),SUMIFS(SONDERZAHLUNGEN!$E$9:$E$128,SONDERZAHLUNGEN!$B$9:$B$128,C1160,SONDERZAHLUNGEN!$C$9:$C$128,A1160,SONDERZAHLUNGEN!$H$9:$H$128,"OK",SONDERZAHLUNGEN!$F$9:$F$128,"Ja")))</x:f>
      </x:c>
      <x:c r="H1160" s="88" t="str">
        <x:f>IF(C1160="","",MIN(MAX(0,D1160+E1160-F1160-G1160),MAX(0,IF(MONATSBUDGET!$C$65="",0,MONATSBUDGET!$C$65)-SUM(F1160:F1179)-0)))</x:f>
      </x:c>
      <x:c r="I1160" s="88" t="str">
        <x:f>IF(C1160="","",MAX(0,ROUND(D1160+E1160-F1160-G1160-H1160,2)))</x:f>
      </x:c>
      <x:c r="J1160" s="88" t="str">
        <x:f>IF(C1160="","",F1160+G1160+H1160)</x:f>
      </x:c>
      <x:c r="K1160" s="88" t="str">
        <x:f>IF(C1160="","",MAX(0,SUMIFS(SONDERZAHLUNGEN!$E$9:$E$128,SONDERZAHLUNGEN!$B$9:$B$128,C1160,SONDERZAHLUNGEN!$C$9:$C$128,A1160,SONDERZAHLUNGEN!$H$9:$H$128,"OK",SONDERZAHLUNGEN!$F$9:$F$128,"Ja")-G1160))</x:f>
      </x:c>
    </x:row>
    <x:row r="1161" ht="19" customHeight="1">
      <x:c r="A1161" s="90" t="n">
        <x:f>MONATSBUDGET!$A$65</x:f>
        <x:v>47969</x:v>
      </x:c>
      <x:c r="B1161" t="n">
        <x:f>2</x:f>
        <x:v>2</x:v>
      </x:c>
      <x:c r="C1161" t="str">
        <x:f>IF($N$10="","",$N$10)</x:f>
      </x:c>
      <x:c r="D1161" s="88" t="str">
        <x:f>IF(C1161="","",I1141)</x:f>
      </x:c>
      <x:c r="E1161" s="88" t="str">
        <x:f>IF(C1161="","",ROUND(D1161*$P$10/12,2))</x:f>
      </x:c>
      <x:c r="F1161" s="88" t="str">
        <x:f>IF(C1161="","",MIN(D1161+E1161,$Q$10))</x:f>
      </x:c>
      <x:c r="G1161" s="88" t="str">
        <x:f>IF(C1161="","",MIN(MAX(0,D1161+E1161-F1161),SUMIFS(SONDERZAHLUNGEN!$E$9:$E$128,SONDERZAHLUNGEN!$B$9:$B$128,C1161,SONDERZAHLUNGEN!$C$9:$C$128,A1161,SONDERZAHLUNGEN!$H$9:$H$128,"OK",SONDERZAHLUNGEN!$F$9:$F$128,"Ja")))</x:f>
      </x:c>
      <x:c r="H1161" s="88" t="str">
        <x:f>IF(C1161="","",MIN(MAX(0,D1161+E1161-F1161-G1161),MAX(0,IF(MONATSBUDGET!$C$65="",0,MONATSBUDGET!$C$65)-SUM(F1160:F1179)-SUM(H1160:H1160))))</x:f>
      </x:c>
      <x:c r="I1161" s="88" t="str">
        <x:f>IF(C1161="","",MAX(0,ROUND(D1161+E1161-F1161-G1161-H1161,2)))</x:f>
      </x:c>
      <x:c r="J1161" s="88" t="str">
        <x:f>IF(C1161="","",F1161+G1161+H1161)</x:f>
      </x:c>
      <x:c r="K1161" s="88" t="str">
        <x:f>IF(C1161="","",MAX(0,SUMIFS(SONDERZAHLUNGEN!$E$9:$E$128,SONDERZAHLUNGEN!$B$9:$B$128,C1161,SONDERZAHLUNGEN!$C$9:$C$128,A1161,SONDERZAHLUNGEN!$H$9:$H$128,"OK",SONDERZAHLUNGEN!$F$9:$F$128,"Ja")-G1161))</x:f>
      </x:c>
    </x:row>
    <x:row r="1162" ht="19" customHeight="1">
      <x:c r="A1162" s="90" t="n">
        <x:f>MONATSBUDGET!$A$65</x:f>
        <x:v>47969</x:v>
      </x:c>
      <x:c r="B1162" t="n">
        <x:f>3</x:f>
        <x:v>3</x:v>
      </x:c>
      <x:c r="C1162" t="str">
        <x:f>IF($N$11="","",$N$11)</x:f>
      </x:c>
      <x:c r="D1162" s="88" t="str">
        <x:f>IF(C1162="","",I1142)</x:f>
      </x:c>
      <x:c r="E1162" s="88" t="str">
        <x:f>IF(C1162="","",ROUND(D1162*$P$11/12,2))</x:f>
      </x:c>
      <x:c r="F1162" s="88" t="str">
        <x:f>IF(C1162="","",MIN(D1162+E1162,$Q$11))</x:f>
      </x:c>
      <x:c r="G1162" s="88" t="str">
        <x:f>IF(C1162="","",MIN(MAX(0,D1162+E1162-F1162),SUMIFS(SONDERZAHLUNGEN!$E$9:$E$128,SONDERZAHLUNGEN!$B$9:$B$128,C1162,SONDERZAHLUNGEN!$C$9:$C$128,A1162,SONDERZAHLUNGEN!$H$9:$H$128,"OK",SONDERZAHLUNGEN!$F$9:$F$128,"Ja")))</x:f>
      </x:c>
      <x:c r="H1162" s="88" t="str">
        <x:f>IF(C1162="","",MIN(MAX(0,D1162+E1162-F1162-G1162),MAX(0,IF(MONATSBUDGET!$C$65="",0,MONATSBUDGET!$C$65)-SUM(F1160:F1179)-SUM(H1160:H1161))))</x:f>
      </x:c>
      <x:c r="I1162" s="88" t="str">
        <x:f>IF(C1162="","",MAX(0,ROUND(D1162+E1162-F1162-G1162-H1162,2)))</x:f>
      </x:c>
      <x:c r="J1162" s="88" t="str">
        <x:f>IF(C1162="","",F1162+G1162+H1162)</x:f>
      </x:c>
      <x:c r="K1162" s="88" t="str">
        <x:f>IF(C1162="","",MAX(0,SUMIFS(SONDERZAHLUNGEN!$E$9:$E$128,SONDERZAHLUNGEN!$B$9:$B$128,C1162,SONDERZAHLUNGEN!$C$9:$C$128,A1162,SONDERZAHLUNGEN!$H$9:$H$128,"OK",SONDERZAHLUNGEN!$F$9:$F$128,"Ja")-G1162))</x:f>
      </x:c>
    </x:row>
    <x:row r="1163" ht="19" customHeight="1">
      <x:c r="A1163" s="90" t="n">
        <x:f>MONATSBUDGET!$A$65</x:f>
        <x:v>47969</x:v>
      </x:c>
      <x:c r="B1163" t="n">
        <x:f>4</x:f>
        <x:v>4</x:v>
      </x:c>
      <x:c r="C1163" t="str">
        <x:f>IF($N$12="","",$N$12)</x:f>
      </x:c>
      <x:c r="D1163" s="88" t="str">
        <x:f>IF(C1163="","",I1143)</x:f>
      </x:c>
      <x:c r="E1163" s="88" t="str">
        <x:f>IF(C1163="","",ROUND(D1163*$P$12/12,2))</x:f>
      </x:c>
      <x:c r="F1163" s="88" t="str">
        <x:f>IF(C1163="","",MIN(D1163+E1163,$Q$12))</x:f>
      </x:c>
      <x:c r="G1163" s="88" t="str">
        <x:f>IF(C1163="","",MIN(MAX(0,D1163+E1163-F1163),SUMIFS(SONDERZAHLUNGEN!$E$9:$E$128,SONDERZAHLUNGEN!$B$9:$B$128,C1163,SONDERZAHLUNGEN!$C$9:$C$128,A1163,SONDERZAHLUNGEN!$H$9:$H$128,"OK",SONDERZAHLUNGEN!$F$9:$F$128,"Ja")))</x:f>
      </x:c>
      <x:c r="H1163" s="88" t="str">
        <x:f>IF(C1163="","",MIN(MAX(0,D1163+E1163-F1163-G1163),MAX(0,IF(MONATSBUDGET!$C$65="",0,MONATSBUDGET!$C$65)-SUM(F1160:F1179)-SUM(H1160:H1162))))</x:f>
      </x:c>
      <x:c r="I1163" s="88" t="str">
        <x:f>IF(C1163="","",MAX(0,ROUND(D1163+E1163-F1163-G1163-H1163,2)))</x:f>
      </x:c>
      <x:c r="J1163" s="88" t="str">
        <x:f>IF(C1163="","",F1163+G1163+H1163)</x:f>
      </x:c>
      <x:c r="K1163" s="88" t="str">
        <x:f>IF(C1163="","",MAX(0,SUMIFS(SONDERZAHLUNGEN!$E$9:$E$128,SONDERZAHLUNGEN!$B$9:$B$128,C1163,SONDERZAHLUNGEN!$C$9:$C$128,A1163,SONDERZAHLUNGEN!$H$9:$H$128,"OK",SONDERZAHLUNGEN!$F$9:$F$128,"Ja")-G1163))</x:f>
      </x:c>
    </x:row>
    <x:row r="1164" ht="19" customHeight="1">
      <x:c r="A1164" s="90" t="n">
        <x:f>MONATSBUDGET!$A$65</x:f>
        <x:v>47969</x:v>
      </x:c>
      <x:c r="B1164" t="n">
        <x:f>5</x:f>
        <x:v>5</x:v>
      </x:c>
      <x:c r="C1164" t="str">
        <x:f>IF($N$13="","",$N$13)</x:f>
      </x:c>
      <x:c r="D1164" s="88" t="str">
        <x:f>IF(C1164="","",I1144)</x:f>
      </x:c>
      <x:c r="E1164" s="88" t="str">
        <x:f>IF(C1164="","",ROUND(D1164*$P$13/12,2))</x:f>
      </x:c>
      <x:c r="F1164" s="88" t="str">
        <x:f>IF(C1164="","",MIN(D1164+E1164,$Q$13))</x:f>
      </x:c>
      <x:c r="G1164" s="88" t="str">
        <x:f>IF(C1164="","",MIN(MAX(0,D1164+E1164-F1164),SUMIFS(SONDERZAHLUNGEN!$E$9:$E$128,SONDERZAHLUNGEN!$B$9:$B$128,C1164,SONDERZAHLUNGEN!$C$9:$C$128,A1164,SONDERZAHLUNGEN!$H$9:$H$128,"OK",SONDERZAHLUNGEN!$F$9:$F$128,"Ja")))</x:f>
      </x:c>
      <x:c r="H1164" s="88" t="str">
        <x:f>IF(C1164="","",MIN(MAX(0,D1164+E1164-F1164-G1164),MAX(0,IF(MONATSBUDGET!$C$65="",0,MONATSBUDGET!$C$65)-SUM(F1160:F1179)-SUM(H1160:H1163))))</x:f>
      </x:c>
      <x:c r="I1164" s="88" t="str">
        <x:f>IF(C1164="","",MAX(0,ROUND(D1164+E1164-F1164-G1164-H1164,2)))</x:f>
      </x:c>
      <x:c r="J1164" s="88" t="str">
        <x:f>IF(C1164="","",F1164+G1164+H1164)</x:f>
      </x:c>
      <x:c r="K1164" s="88" t="str">
        <x:f>IF(C1164="","",MAX(0,SUMIFS(SONDERZAHLUNGEN!$E$9:$E$128,SONDERZAHLUNGEN!$B$9:$B$128,C1164,SONDERZAHLUNGEN!$C$9:$C$128,A1164,SONDERZAHLUNGEN!$H$9:$H$128,"OK",SONDERZAHLUNGEN!$F$9:$F$128,"Ja")-G1164))</x:f>
      </x:c>
    </x:row>
    <x:row r="1165" ht="19" customHeight="1">
      <x:c r="A1165" s="90" t="n">
        <x:f>MONATSBUDGET!$A$65</x:f>
        <x:v>47969</x:v>
      </x:c>
      <x:c r="B1165" t="n">
        <x:f>6</x:f>
        <x:v>6</x:v>
      </x:c>
      <x:c r="C1165" t="str">
        <x:f>IF($N$14="","",$N$14)</x:f>
      </x:c>
      <x:c r="D1165" s="88" t="str">
        <x:f>IF(C1165="","",I1145)</x:f>
      </x:c>
      <x:c r="E1165" s="88" t="str">
        <x:f>IF(C1165="","",ROUND(D1165*$P$14/12,2))</x:f>
      </x:c>
      <x:c r="F1165" s="88" t="str">
        <x:f>IF(C1165="","",MIN(D1165+E1165,$Q$14))</x:f>
      </x:c>
      <x:c r="G1165" s="88" t="str">
        <x:f>IF(C1165="","",MIN(MAX(0,D1165+E1165-F1165),SUMIFS(SONDERZAHLUNGEN!$E$9:$E$128,SONDERZAHLUNGEN!$B$9:$B$128,C1165,SONDERZAHLUNGEN!$C$9:$C$128,A1165,SONDERZAHLUNGEN!$H$9:$H$128,"OK",SONDERZAHLUNGEN!$F$9:$F$128,"Ja")))</x:f>
      </x:c>
      <x:c r="H1165" s="88" t="str">
        <x:f>IF(C1165="","",MIN(MAX(0,D1165+E1165-F1165-G1165),MAX(0,IF(MONATSBUDGET!$C$65="",0,MONATSBUDGET!$C$65)-SUM(F1160:F1179)-SUM(H1160:H1164))))</x:f>
      </x:c>
      <x:c r="I1165" s="88" t="str">
        <x:f>IF(C1165="","",MAX(0,ROUND(D1165+E1165-F1165-G1165-H1165,2)))</x:f>
      </x:c>
      <x:c r="J1165" s="88" t="str">
        <x:f>IF(C1165="","",F1165+G1165+H1165)</x:f>
      </x:c>
      <x:c r="K1165" s="88" t="str">
        <x:f>IF(C1165="","",MAX(0,SUMIFS(SONDERZAHLUNGEN!$E$9:$E$128,SONDERZAHLUNGEN!$B$9:$B$128,C1165,SONDERZAHLUNGEN!$C$9:$C$128,A1165,SONDERZAHLUNGEN!$H$9:$H$128,"OK",SONDERZAHLUNGEN!$F$9:$F$128,"Ja")-G1165))</x:f>
      </x:c>
    </x:row>
    <x:row r="1166" ht="19" customHeight="1">
      <x:c r="A1166" s="90" t="n">
        <x:f>MONATSBUDGET!$A$65</x:f>
        <x:v>47969</x:v>
      </x:c>
      <x:c r="B1166" t="n">
        <x:f>7</x:f>
        <x:v>7</x:v>
      </x:c>
      <x:c r="C1166" t="str">
        <x:f>IF($N$15="","",$N$15)</x:f>
      </x:c>
      <x:c r="D1166" s="88" t="str">
        <x:f>IF(C1166="","",I1146)</x:f>
      </x:c>
      <x:c r="E1166" s="88" t="str">
        <x:f>IF(C1166="","",ROUND(D1166*$P$15/12,2))</x:f>
      </x:c>
      <x:c r="F1166" s="88" t="str">
        <x:f>IF(C1166="","",MIN(D1166+E1166,$Q$15))</x:f>
      </x:c>
      <x:c r="G1166" s="88" t="str">
        <x:f>IF(C1166="","",MIN(MAX(0,D1166+E1166-F1166),SUMIFS(SONDERZAHLUNGEN!$E$9:$E$128,SONDERZAHLUNGEN!$B$9:$B$128,C1166,SONDERZAHLUNGEN!$C$9:$C$128,A1166,SONDERZAHLUNGEN!$H$9:$H$128,"OK",SONDERZAHLUNGEN!$F$9:$F$128,"Ja")))</x:f>
      </x:c>
      <x:c r="H1166" s="88" t="str">
        <x:f>IF(C1166="","",MIN(MAX(0,D1166+E1166-F1166-G1166),MAX(0,IF(MONATSBUDGET!$C$65="",0,MONATSBUDGET!$C$65)-SUM(F1160:F1179)-SUM(H1160:H1165))))</x:f>
      </x:c>
      <x:c r="I1166" s="88" t="str">
        <x:f>IF(C1166="","",MAX(0,ROUND(D1166+E1166-F1166-G1166-H1166,2)))</x:f>
      </x:c>
      <x:c r="J1166" s="88" t="str">
        <x:f>IF(C1166="","",F1166+G1166+H1166)</x:f>
      </x:c>
      <x:c r="K1166" s="88" t="str">
        <x:f>IF(C1166="","",MAX(0,SUMIFS(SONDERZAHLUNGEN!$E$9:$E$128,SONDERZAHLUNGEN!$B$9:$B$128,C1166,SONDERZAHLUNGEN!$C$9:$C$128,A1166,SONDERZAHLUNGEN!$H$9:$H$128,"OK",SONDERZAHLUNGEN!$F$9:$F$128,"Ja")-G1166))</x:f>
      </x:c>
    </x:row>
    <x:row r="1167" ht="19" customHeight="1">
      <x:c r="A1167" s="90" t="n">
        <x:f>MONATSBUDGET!$A$65</x:f>
        <x:v>47969</x:v>
      </x:c>
      <x:c r="B1167" t="n">
        <x:f>8</x:f>
        <x:v>8</x:v>
      </x:c>
      <x:c r="C1167" t="str">
        <x:f>IF($N$16="","",$N$16)</x:f>
      </x:c>
      <x:c r="D1167" s="88" t="str">
        <x:f>IF(C1167="","",I1147)</x:f>
      </x:c>
      <x:c r="E1167" s="88" t="str">
        <x:f>IF(C1167="","",ROUND(D1167*$P$16/12,2))</x:f>
      </x:c>
      <x:c r="F1167" s="88" t="str">
        <x:f>IF(C1167="","",MIN(D1167+E1167,$Q$16))</x:f>
      </x:c>
      <x:c r="G1167" s="88" t="str">
        <x:f>IF(C1167="","",MIN(MAX(0,D1167+E1167-F1167),SUMIFS(SONDERZAHLUNGEN!$E$9:$E$128,SONDERZAHLUNGEN!$B$9:$B$128,C1167,SONDERZAHLUNGEN!$C$9:$C$128,A1167,SONDERZAHLUNGEN!$H$9:$H$128,"OK",SONDERZAHLUNGEN!$F$9:$F$128,"Ja")))</x:f>
      </x:c>
      <x:c r="H1167" s="88" t="str">
        <x:f>IF(C1167="","",MIN(MAX(0,D1167+E1167-F1167-G1167),MAX(0,IF(MONATSBUDGET!$C$65="",0,MONATSBUDGET!$C$65)-SUM(F1160:F1179)-SUM(H1160:H1166))))</x:f>
      </x:c>
      <x:c r="I1167" s="88" t="str">
        <x:f>IF(C1167="","",MAX(0,ROUND(D1167+E1167-F1167-G1167-H1167,2)))</x:f>
      </x:c>
      <x:c r="J1167" s="88" t="str">
        <x:f>IF(C1167="","",F1167+G1167+H1167)</x:f>
      </x:c>
      <x:c r="K1167" s="88" t="str">
        <x:f>IF(C1167="","",MAX(0,SUMIFS(SONDERZAHLUNGEN!$E$9:$E$128,SONDERZAHLUNGEN!$B$9:$B$128,C1167,SONDERZAHLUNGEN!$C$9:$C$128,A1167,SONDERZAHLUNGEN!$H$9:$H$128,"OK",SONDERZAHLUNGEN!$F$9:$F$128,"Ja")-G1167))</x:f>
      </x:c>
    </x:row>
    <x:row r="1168" ht="19" customHeight="1">
      <x:c r="A1168" s="90" t="n">
        <x:f>MONATSBUDGET!$A$65</x:f>
        <x:v>47969</x:v>
      </x:c>
      <x:c r="B1168" t="n">
        <x:f>9</x:f>
        <x:v>9</x:v>
      </x:c>
      <x:c r="C1168" t="str">
        <x:f>IF($N$17="","",$N$17)</x:f>
      </x:c>
      <x:c r="D1168" s="88" t="str">
        <x:f>IF(C1168="","",I1148)</x:f>
      </x:c>
      <x:c r="E1168" s="88" t="str">
        <x:f>IF(C1168="","",ROUND(D1168*$P$17/12,2))</x:f>
      </x:c>
      <x:c r="F1168" s="88" t="str">
        <x:f>IF(C1168="","",MIN(D1168+E1168,$Q$17))</x:f>
      </x:c>
      <x:c r="G1168" s="88" t="str">
        <x:f>IF(C1168="","",MIN(MAX(0,D1168+E1168-F1168),SUMIFS(SONDERZAHLUNGEN!$E$9:$E$128,SONDERZAHLUNGEN!$B$9:$B$128,C1168,SONDERZAHLUNGEN!$C$9:$C$128,A1168,SONDERZAHLUNGEN!$H$9:$H$128,"OK",SONDERZAHLUNGEN!$F$9:$F$128,"Ja")))</x:f>
      </x:c>
      <x:c r="H1168" s="88" t="str">
        <x:f>IF(C1168="","",MIN(MAX(0,D1168+E1168-F1168-G1168),MAX(0,IF(MONATSBUDGET!$C$65="",0,MONATSBUDGET!$C$65)-SUM(F1160:F1179)-SUM(H1160:H1167))))</x:f>
      </x:c>
      <x:c r="I1168" s="88" t="str">
        <x:f>IF(C1168="","",MAX(0,ROUND(D1168+E1168-F1168-G1168-H1168,2)))</x:f>
      </x:c>
      <x:c r="J1168" s="88" t="str">
        <x:f>IF(C1168="","",F1168+G1168+H1168)</x:f>
      </x:c>
      <x:c r="K1168" s="88" t="str">
        <x:f>IF(C1168="","",MAX(0,SUMIFS(SONDERZAHLUNGEN!$E$9:$E$128,SONDERZAHLUNGEN!$B$9:$B$128,C1168,SONDERZAHLUNGEN!$C$9:$C$128,A1168,SONDERZAHLUNGEN!$H$9:$H$128,"OK",SONDERZAHLUNGEN!$F$9:$F$128,"Ja")-G1168))</x:f>
      </x:c>
    </x:row>
    <x:row r="1169" ht="19" customHeight="1">
      <x:c r="A1169" s="90" t="n">
        <x:f>MONATSBUDGET!$A$65</x:f>
        <x:v>47969</x:v>
      </x:c>
      <x:c r="B1169" t="n">
        <x:f>10</x:f>
        <x:v>10</x:v>
      </x:c>
      <x:c r="C1169" t="str">
        <x:f>IF($N$18="","",$N$18)</x:f>
      </x:c>
      <x:c r="D1169" s="88" t="str">
        <x:f>IF(C1169="","",I1149)</x:f>
      </x:c>
      <x:c r="E1169" s="88" t="str">
        <x:f>IF(C1169="","",ROUND(D1169*$P$18/12,2))</x:f>
      </x:c>
      <x:c r="F1169" s="88" t="str">
        <x:f>IF(C1169="","",MIN(D1169+E1169,$Q$18))</x:f>
      </x:c>
      <x:c r="G1169" s="88" t="str">
        <x:f>IF(C1169="","",MIN(MAX(0,D1169+E1169-F1169),SUMIFS(SONDERZAHLUNGEN!$E$9:$E$128,SONDERZAHLUNGEN!$B$9:$B$128,C1169,SONDERZAHLUNGEN!$C$9:$C$128,A1169,SONDERZAHLUNGEN!$H$9:$H$128,"OK",SONDERZAHLUNGEN!$F$9:$F$128,"Ja")))</x:f>
      </x:c>
      <x:c r="H1169" s="88" t="str">
        <x:f>IF(C1169="","",MIN(MAX(0,D1169+E1169-F1169-G1169),MAX(0,IF(MONATSBUDGET!$C$65="",0,MONATSBUDGET!$C$65)-SUM(F1160:F1179)-SUM(H1160:H1168))))</x:f>
      </x:c>
      <x:c r="I1169" s="88" t="str">
        <x:f>IF(C1169="","",MAX(0,ROUND(D1169+E1169-F1169-G1169-H1169,2)))</x:f>
      </x:c>
      <x:c r="J1169" s="88" t="str">
        <x:f>IF(C1169="","",F1169+G1169+H1169)</x:f>
      </x:c>
      <x:c r="K1169" s="88" t="str">
        <x:f>IF(C1169="","",MAX(0,SUMIFS(SONDERZAHLUNGEN!$E$9:$E$128,SONDERZAHLUNGEN!$B$9:$B$128,C1169,SONDERZAHLUNGEN!$C$9:$C$128,A1169,SONDERZAHLUNGEN!$H$9:$H$128,"OK",SONDERZAHLUNGEN!$F$9:$F$128,"Ja")-G1169))</x:f>
      </x:c>
    </x:row>
    <x:row r="1170" ht="19" customHeight="1">
      <x:c r="A1170" s="90" t="n">
        <x:f>MONATSBUDGET!$A$65</x:f>
        <x:v>47969</x:v>
      </x:c>
      <x:c r="B1170" t="n">
        <x:f>11</x:f>
        <x:v>11</x:v>
      </x:c>
      <x:c r="C1170" t="str">
        <x:f>IF($N$19="","",$N$19)</x:f>
      </x:c>
      <x:c r="D1170" s="88" t="str">
        <x:f>IF(C1170="","",I1150)</x:f>
      </x:c>
      <x:c r="E1170" s="88" t="str">
        <x:f>IF(C1170="","",ROUND(D1170*$P$19/12,2))</x:f>
      </x:c>
      <x:c r="F1170" s="88" t="str">
        <x:f>IF(C1170="","",MIN(D1170+E1170,$Q$19))</x:f>
      </x:c>
      <x:c r="G1170" s="88" t="str">
        <x:f>IF(C1170="","",MIN(MAX(0,D1170+E1170-F1170),SUMIFS(SONDERZAHLUNGEN!$E$9:$E$128,SONDERZAHLUNGEN!$B$9:$B$128,C1170,SONDERZAHLUNGEN!$C$9:$C$128,A1170,SONDERZAHLUNGEN!$H$9:$H$128,"OK",SONDERZAHLUNGEN!$F$9:$F$128,"Ja")))</x:f>
      </x:c>
      <x:c r="H1170" s="88" t="str">
        <x:f>IF(C1170="","",MIN(MAX(0,D1170+E1170-F1170-G1170),MAX(0,IF(MONATSBUDGET!$C$65="",0,MONATSBUDGET!$C$65)-SUM(F1160:F1179)-SUM(H1160:H1169))))</x:f>
      </x:c>
      <x:c r="I1170" s="88" t="str">
        <x:f>IF(C1170="","",MAX(0,ROUND(D1170+E1170-F1170-G1170-H1170,2)))</x:f>
      </x:c>
      <x:c r="J1170" s="88" t="str">
        <x:f>IF(C1170="","",F1170+G1170+H1170)</x:f>
      </x:c>
      <x:c r="K1170" s="88" t="str">
        <x:f>IF(C1170="","",MAX(0,SUMIFS(SONDERZAHLUNGEN!$E$9:$E$128,SONDERZAHLUNGEN!$B$9:$B$128,C1170,SONDERZAHLUNGEN!$C$9:$C$128,A1170,SONDERZAHLUNGEN!$H$9:$H$128,"OK",SONDERZAHLUNGEN!$F$9:$F$128,"Ja")-G1170))</x:f>
      </x:c>
    </x:row>
    <x:row r="1171" ht="19" customHeight="1">
      <x:c r="A1171" s="90" t="n">
        <x:f>MONATSBUDGET!$A$65</x:f>
        <x:v>47969</x:v>
      </x:c>
      <x:c r="B1171" t="n">
        <x:f>12</x:f>
        <x:v>12</x:v>
      </x:c>
      <x:c r="C1171" t="str">
        <x:f>IF($N$20="","",$N$20)</x:f>
      </x:c>
      <x:c r="D1171" s="88" t="str">
        <x:f>IF(C1171="","",I1151)</x:f>
      </x:c>
      <x:c r="E1171" s="88" t="str">
        <x:f>IF(C1171="","",ROUND(D1171*$P$20/12,2))</x:f>
      </x:c>
      <x:c r="F1171" s="88" t="str">
        <x:f>IF(C1171="","",MIN(D1171+E1171,$Q$20))</x:f>
      </x:c>
      <x:c r="G1171" s="88" t="str">
        <x:f>IF(C1171="","",MIN(MAX(0,D1171+E1171-F1171),SUMIFS(SONDERZAHLUNGEN!$E$9:$E$128,SONDERZAHLUNGEN!$B$9:$B$128,C1171,SONDERZAHLUNGEN!$C$9:$C$128,A1171,SONDERZAHLUNGEN!$H$9:$H$128,"OK",SONDERZAHLUNGEN!$F$9:$F$128,"Ja")))</x:f>
      </x:c>
      <x:c r="H1171" s="88" t="str">
        <x:f>IF(C1171="","",MIN(MAX(0,D1171+E1171-F1171-G1171),MAX(0,IF(MONATSBUDGET!$C$65="",0,MONATSBUDGET!$C$65)-SUM(F1160:F1179)-SUM(H1160:H1170))))</x:f>
      </x:c>
      <x:c r="I1171" s="88" t="str">
        <x:f>IF(C1171="","",MAX(0,ROUND(D1171+E1171-F1171-G1171-H1171,2)))</x:f>
      </x:c>
      <x:c r="J1171" s="88" t="str">
        <x:f>IF(C1171="","",F1171+G1171+H1171)</x:f>
      </x:c>
      <x:c r="K1171" s="88" t="str">
        <x:f>IF(C1171="","",MAX(0,SUMIFS(SONDERZAHLUNGEN!$E$9:$E$128,SONDERZAHLUNGEN!$B$9:$B$128,C1171,SONDERZAHLUNGEN!$C$9:$C$128,A1171,SONDERZAHLUNGEN!$H$9:$H$128,"OK",SONDERZAHLUNGEN!$F$9:$F$128,"Ja")-G1171))</x:f>
      </x:c>
    </x:row>
    <x:row r="1172" ht="19" customHeight="1">
      <x:c r="A1172" s="90" t="n">
        <x:f>MONATSBUDGET!$A$65</x:f>
        <x:v>47969</x:v>
      </x:c>
      <x:c r="B1172" t="n">
        <x:f>13</x:f>
        <x:v>13</x:v>
      </x:c>
      <x:c r="C1172" t="str">
        <x:f>IF($N$21="","",$N$21)</x:f>
      </x:c>
      <x:c r="D1172" s="88" t="str">
        <x:f>IF(C1172="","",I1152)</x:f>
      </x:c>
      <x:c r="E1172" s="88" t="str">
        <x:f>IF(C1172="","",ROUND(D1172*$P$21/12,2))</x:f>
      </x:c>
      <x:c r="F1172" s="88" t="str">
        <x:f>IF(C1172="","",MIN(D1172+E1172,$Q$21))</x:f>
      </x:c>
      <x:c r="G1172" s="88" t="str">
        <x:f>IF(C1172="","",MIN(MAX(0,D1172+E1172-F1172),SUMIFS(SONDERZAHLUNGEN!$E$9:$E$128,SONDERZAHLUNGEN!$B$9:$B$128,C1172,SONDERZAHLUNGEN!$C$9:$C$128,A1172,SONDERZAHLUNGEN!$H$9:$H$128,"OK",SONDERZAHLUNGEN!$F$9:$F$128,"Ja")))</x:f>
      </x:c>
      <x:c r="H1172" s="88" t="str">
        <x:f>IF(C1172="","",MIN(MAX(0,D1172+E1172-F1172-G1172),MAX(0,IF(MONATSBUDGET!$C$65="",0,MONATSBUDGET!$C$65)-SUM(F1160:F1179)-SUM(H1160:H1171))))</x:f>
      </x:c>
      <x:c r="I1172" s="88" t="str">
        <x:f>IF(C1172="","",MAX(0,ROUND(D1172+E1172-F1172-G1172-H1172,2)))</x:f>
      </x:c>
      <x:c r="J1172" s="88" t="str">
        <x:f>IF(C1172="","",F1172+G1172+H1172)</x:f>
      </x:c>
      <x:c r="K1172" s="88" t="str">
        <x:f>IF(C1172="","",MAX(0,SUMIFS(SONDERZAHLUNGEN!$E$9:$E$128,SONDERZAHLUNGEN!$B$9:$B$128,C1172,SONDERZAHLUNGEN!$C$9:$C$128,A1172,SONDERZAHLUNGEN!$H$9:$H$128,"OK",SONDERZAHLUNGEN!$F$9:$F$128,"Ja")-G1172))</x:f>
      </x:c>
    </x:row>
    <x:row r="1173" ht="19" customHeight="1">
      <x:c r="A1173" s="90" t="n">
        <x:f>MONATSBUDGET!$A$65</x:f>
        <x:v>47969</x:v>
      </x:c>
      <x:c r="B1173" t="n">
        <x:f>14</x:f>
        <x:v>14</x:v>
      </x:c>
      <x:c r="C1173" t="str">
        <x:f>IF($N$22="","",$N$22)</x:f>
      </x:c>
      <x:c r="D1173" s="88" t="str">
        <x:f>IF(C1173="","",I1153)</x:f>
      </x:c>
      <x:c r="E1173" s="88" t="str">
        <x:f>IF(C1173="","",ROUND(D1173*$P$22/12,2))</x:f>
      </x:c>
      <x:c r="F1173" s="88" t="str">
        <x:f>IF(C1173="","",MIN(D1173+E1173,$Q$22))</x:f>
      </x:c>
      <x:c r="G1173" s="88" t="str">
        <x:f>IF(C1173="","",MIN(MAX(0,D1173+E1173-F1173),SUMIFS(SONDERZAHLUNGEN!$E$9:$E$128,SONDERZAHLUNGEN!$B$9:$B$128,C1173,SONDERZAHLUNGEN!$C$9:$C$128,A1173,SONDERZAHLUNGEN!$H$9:$H$128,"OK",SONDERZAHLUNGEN!$F$9:$F$128,"Ja")))</x:f>
      </x:c>
      <x:c r="H1173" s="88" t="str">
        <x:f>IF(C1173="","",MIN(MAX(0,D1173+E1173-F1173-G1173),MAX(0,IF(MONATSBUDGET!$C$65="",0,MONATSBUDGET!$C$65)-SUM(F1160:F1179)-SUM(H1160:H1172))))</x:f>
      </x:c>
      <x:c r="I1173" s="88" t="str">
        <x:f>IF(C1173="","",MAX(0,ROUND(D1173+E1173-F1173-G1173-H1173,2)))</x:f>
      </x:c>
      <x:c r="J1173" s="88" t="str">
        <x:f>IF(C1173="","",F1173+G1173+H1173)</x:f>
      </x:c>
      <x:c r="K1173" s="88" t="str">
        <x:f>IF(C1173="","",MAX(0,SUMIFS(SONDERZAHLUNGEN!$E$9:$E$128,SONDERZAHLUNGEN!$B$9:$B$128,C1173,SONDERZAHLUNGEN!$C$9:$C$128,A1173,SONDERZAHLUNGEN!$H$9:$H$128,"OK",SONDERZAHLUNGEN!$F$9:$F$128,"Ja")-G1173))</x:f>
      </x:c>
    </x:row>
    <x:row r="1174" ht="19" customHeight="1">
      <x:c r="A1174" s="90" t="n">
        <x:f>MONATSBUDGET!$A$65</x:f>
        <x:v>47969</x:v>
      </x:c>
      <x:c r="B1174" t="n">
        <x:f>15</x:f>
        <x:v>15</x:v>
      </x:c>
      <x:c r="C1174" t="str">
        <x:f>IF($N$23="","",$N$23)</x:f>
      </x:c>
      <x:c r="D1174" s="88" t="str">
        <x:f>IF(C1174="","",I1154)</x:f>
      </x:c>
      <x:c r="E1174" s="88" t="str">
        <x:f>IF(C1174="","",ROUND(D1174*$P$23/12,2))</x:f>
      </x:c>
      <x:c r="F1174" s="88" t="str">
        <x:f>IF(C1174="","",MIN(D1174+E1174,$Q$23))</x:f>
      </x:c>
      <x:c r="G1174" s="88" t="str">
        <x:f>IF(C1174="","",MIN(MAX(0,D1174+E1174-F1174),SUMIFS(SONDERZAHLUNGEN!$E$9:$E$128,SONDERZAHLUNGEN!$B$9:$B$128,C1174,SONDERZAHLUNGEN!$C$9:$C$128,A1174,SONDERZAHLUNGEN!$H$9:$H$128,"OK",SONDERZAHLUNGEN!$F$9:$F$128,"Ja")))</x:f>
      </x:c>
      <x:c r="H1174" s="88" t="str">
        <x:f>IF(C1174="","",MIN(MAX(0,D1174+E1174-F1174-G1174),MAX(0,IF(MONATSBUDGET!$C$65="",0,MONATSBUDGET!$C$65)-SUM(F1160:F1179)-SUM(H1160:H1173))))</x:f>
      </x:c>
      <x:c r="I1174" s="88" t="str">
        <x:f>IF(C1174="","",MAX(0,ROUND(D1174+E1174-F1174-G1174-H1174,2)))</x:f>
      </x:c>
      <x:c r="J1174" s="88" t="str">
        <x:f>IF(C1174="","",F1174+G1174+H1174)</x:f>
      </x:c>
      <x:c r="K1174" s="88" t="str">
        <x:f>IF(C1174="","",MAX(0,SUMIFS(SONDERZAHLUNGEN!$E$9:$E$128,SONDERZAHLUNGEN!$B$9:$B$128,C1174,SONDERZAHLUNGEN!$C$9:$C$128,A1174,SONDERZAHLUNGEN!$H$9:$H$128,"OK",SONDERZAHLUNGEN!$F$9:$F$128,"Ja")-G1174))</x:f>
      </x:c>
    </x:row>
    <x:row r="1175" ht="19" customHeight="1">
      <x:c r="A1175" s="90" t="n">
        <x:f>MONATSBUDGET!$A$65</x:f>
        <x:v>47969</x:v>
      </x:c>
      <x:c r="B1175" t="n">
        <x:f>16</x:f>
        <x:v>16</x:v>
      </x:c>
      <x:c r="C1175" t="str">
        <x:f>IF($N$24="","",$N$24)</x:f>
      </x:c>
      <x:c r="D1175" s="88" t="str">
        <x:f>IF(C1175="","",I1155)</x:f>
      </x:c>
      <x:c r="E1175" s="88" t="str">
        <x:f>IF(C1175="","",ROUND(D1175*$P$24/12,2))</x:f>
      </x:c>
      <x:c r="F1175" s="88" t="str">
        <x:f>IF(C1175="","",MIN(D1175+E1175,$Q$24))</x:f>
      </x:c>
      <x:c r="G1175" s="88" t="str">
        <x:f>IF(C1175="","",MIN(MAX(0,D1175+E1175-F1175),SUMIFS(SONDERZAHLUNGEN!$E$9:$E$128,SONDERZAHLUNGEN!$B$9:$B$128,C1175,SONDERZAHLUNGEN!$C$9:$C$128,A1175,SONDERZAHLUNGEN!$H$9:$H$128,"OK",SONDERZAHLUNGEN!$F$9:$F$128,"Ja")))</x:f>
      </x:c>
      <x:c r="H1175" s="88" t="str">
        <x:f>IF(C1175="","",MIN(MAX(0,D1175+E1175-F1175-G1175),MAX(0,IF(MONATSBUDGET!$C$65="",0,MONATSBUDGET!$C$65)-SUM(F1160:F1179)-SUM(H1160:H1174))))</x:f>
      </x:c>
      <x:c r="I1175" s="88" t="str">
        <x:f>IF(C1175="","",MAX(0,ROUND(D1175+E1175-F1175-G1175-H1175,2)))</x:f>
      </x:c>
      <x:c r="J1175" s="88" t="str">
        <x:f>IF(C1175="","",F1175+G1175+H1175)</x:f>
      </x:c>
      <x:c r="K1175" s="88" t="str">
        <x:f>IF(C1175="","",MAX(0,SUMIFS(SONDERZAHLUNGEN!$E$9:$E$128,SONDERZAHLUNGEN!$B$9:$B$128,C1175,SONDERZAHLUNGEN!$C$9:$C$128,A1175,SONDERZAHLUNGEN!$H$9:$H$128,"OK",SONDERZAHLUNGEN!$F$9:$F$128,"Ja")-G1175))</x:f>
      </x:c>
    </x:row>
    <x:row r="1176" ht="19" customHeight="1">
      <x:c r="A1176" s="90" t="n">
        <x:f>MONATSBUDGET!$A$65</x:f>
        <x:v>47969</x:v>
      </x:c>
      <x:c r="B1176" t="n">
        <x:f>17</x:f>
        <x:v>17</x:v>
      </x:c>
      <x:c r="C1176" t="str">
        <x:f>IF($N$25="","",$N$25)</x:f>
      </x:c>
      <x:c r="D1176" s="88" t="str">
        <x:f>IF(C1176="","",I1156)</x:f>
      </x:c>
      <x:c r="E1176" s="88" t="str">
        <x:f>IF(C1176="","",ROUND(D1176*$P$25/12,2))</x:f>
      </x:c>
      <x:c r="F1176" s="88" t="str">
        <x:f>IF(C1176="","",MIN(D1176+E1176,$Q$25))</x:f>
      </x:c>
      <x:c r="G1176" s="88" t="str">
        <x:f>IF(C1176="","",MIN(MAX(0,D1176+E1176-F1176),SUMIFS(SONDERZAHLUNGEN!$E$9:$E$128,SONDERZAHLUNGEN!$B$9:$B$128,C1176,SONDERZAHLUNGEN!$C$9:$C$128,A1176,SONDERZAHLUNGEN!$H$9:$H$128,"OK",SONDERZAHLUNGEN!$F$9:$F$128,"Ja")))</x:f>
      </x:c>
      <x:c r="H1176" s="88" t="str">
        <x:f>IF(C1176="","",MIN(MAX(0,D1176+E1176-F1176-G1176),MAX(0,IF(MONATSBUDGET!$C$65="",0,MONATSBUDGET!$C$65)-SUM(F1160:F1179)-SUM(H1160:H1175))))</x:f>
      </x:c>
      <x:c r="I1176" s="88" t="str">
        <x:f>IF(C1176="","",MAX(0,ROUND(D1176+E1176-F1176-G1176-H1176,2)))</x:f>
      </x:c>
      <x:c r="J1176" s="88" t="str">
        <x:f>IF(C1176="","",F1176+G1176+H1176)</x:f>
      </x:c>
      <x:c r="K1176" s="88" t="str">
        <x:f>IF(C1176="","",MAX(0,SUMIFS(SONDERZAHLUNGEN!$E$9:$E$128,SONDERZAHLUNGEN!$B$9:$B$128,C1176,SONDERZAHLUNGEN!$C$9:$C$128,A1176,SONDERZAHLUNGEN!$H$9:$H$128,"OK",SONDERZAHLUNGEN!$F$9:$F$128,"Ja")-G1176))</x:f>
      </x:c>
    </x:row>
    <x:row r="1177" ht="19" customHeight="1">
      <x:c r="A1177" s="90" t="n">
        <x:f>MONATSBUDGET!$A$65</x:f>
        <x:v>47969</x:v>
      </x:c>
      <x:c r="B1177" t="n">
        <x:f>18</x:f>
        <x:v>18</x:v>
      </x:c>
      <x:c r="C1177" t="str">
        <x:f>IF($N$26="","",$N$26)</x:f>
      </x:c>
      <x:c r="D1177" s="88" t="str">
        <x:f>IF(C1177="","",I1157)</x:f>
      </x:c>
      <x:c r="E1177" s="88" t="str">
        <x:f>IF(C1177="","",ROUND(D1177*$P$26/12,2))</x:f>
      </x:c>
      <x:c r="F1177" s="88" t="str">
        <x:f>IF(C1177="","",MIN(D1177+E1177,$Q$26))</x:f>
      </x:c>
      <x:c r="G1177" s="88" t="str">
        <x:f>IF(C1177="","",MIN(MAX(0,D1177+E1177-F1177),SUMIFS(SONDERZAHLUNGEN!$E$9:$E$128,SONDERZAHLUNGEN!$B$9:$B$128,C1177,SONDERZAHLUNGEN!$C$9:$C$128,A1177,SONDERZAHLUNGEN!$H$9:$H$128,"OK",SONDERZAHLUNGEN!$F$9:$F$128,"Ja")))</x:f>
      </x:c>
      <x:c r="H1177" s="88" t="str">
        <x:f>IF(C1177="","",MIN(MAX(0,D1177+E1177-F1177-G1177),MAX(0,IF(MONATSBUDGET!$C$65="",0,MONATSBUDGET!$C$65)-SUM(F1160:F1179)-SUM(H1160:H1176))))</x:f>
      </x:c>
      <x:c r="I1177" s="88" t="str">
        <x:f>IF(C1177="","",MAX(0,ROUND(D1177+E1177-F1177-G1177-H1177,2)))</x:f>
      </x:c>
      <x:c r="J1177" s="88" t="str">
        <x:f>IF(C1177="","",F1177+G1177+H1177)</x:f>
      </x:c>
      <x:c r="K1177" s="88" t="str">
        <x:f>IF(C1177="","",MAX(0,SUMIFS(SONDERZAHLUNGEN!$E$9:$E$128,SONDERZAHLUNGEN!$B$9:$B$128,C1177,SONDERZAHLUNGEN!$C$9:$C$128,A1177,SONDERZAHLUNGEN!$H$9:$H$128,"OK",SONDERZAHLUNGEN!$F$9:$F$128,"Ja")-G1177))</x:f>
      </x:c>
    </x:row>
    <x:row r="1178" ht="19" customHeight="1">
      <x:c r="A1178" s="90" t="n">
        <x:f>MONATSBUDGET!$A$65</x:f>
        <x:v>47969</x:v>
      </x:c>
      <x:c r="B1178" t="n">
        <x:f>19</x:f>
        <x:v>19</x:v>
      </x:c>
      <x:c r="C1178" t="str">
        <x:f>IF($N$27="","",$N$27)</x:f>
      </x:c>
      <x:c r="D1178" s="88" t="str">
        <x:f>IF(C1178="","",I1158)</x:f>
      </x:c>
      <x:c r="E1178" s="88" t="str">
        <x:f>IF(C1178="","",ROUND(D1178*$P$27/12,2))</x:f>
      </x:c>
      <x:c r="F1178" s="88" t="str">
        <x:f>IF(C1178="","",MIN(D1178+E1178,$Q$27))</x:f>
      </x:c>
      <x:c r="G1178" s="88" t="str">
        <x:f>IF(C1178="","",MIN(MAX(0,D1178+E1178-F1178),SUMIFS(SONDERZAHLUNGEN!$E$9:$E$128,SONDERZAHLUNGEN!$B$9:$B$128,C1178,SONDERZAHLUNGEN!$C$9:$C$128,A1178,SONDERZAHLUNGEN!$H$9:$H$128,"OK",SONDERZAHLUNGEN!$F$9:$F$128,"Ja")))</x:f>
      </x:c>
      <x:c r="H1178" s="88" t="str">
        <x:f>IF(C1178="","",MIN(MAX(0,D1178+E1178-F1178-G1178),MAX(0,IF(MONATSBUDGET!$C$65="",0,MONATSBUDGET!$C$65)-SUM(F1160:F1179)-SUM(H1160:H1177))))</x:f>
      </x:c>
      <x:c r="I1178" s="88" t="str">
        <x:f>IF(C1178="","",MAX(0,ROUND(D1178+E1178-F1178-G1178-H1178,2)))</x:f>
      </x:c>
      <x:c r="J1178" s="88" t="str">
        <x:f>IF(C1178="","",F1178+G1178+H1178)</x:f>
      </x:c>
      <x:c r="K1178" s="88" t="str">
        <x:f>IF(C1178="","",MAX(0,SUMIFS(SONDERZAHLUNGEN!$E$9:$E$128,SONDERZAHLUNGEN!$B$9:$B$128,C1178,SONDERZAHLUNGEN!$C$9:$C$128,A1178,SONDERZAHLUNGEN!$H$9:$H$128,"OK",SONDERZAHLUNGEN!$F$9:$F$128,"Ja")-G1178))</x:f>
      </x:c>
    </x:row>
    <x:row r="1179" ht="19" customHeight="1">
      <x:c r="A1179" s="90" t="n">
        <x:f>MONATSBUDGET!$A$65</x:f>
        <x:v>47969</x:v>
      </x:c>
      <x:c r="B1179" t="n">
        <x:f>20</x:f>
        <x:v>20</x:v>
      </x:c>
      <x:c r="C1179" t="str">
        <x:f>IF($N$28="","",$N$28)</x:f>
      </x:c>
      <x:c r="D1179" s="88" t="str">
        <x:f>IF(C1179="","",I1159)</x:f>
      </x:c>
      <x:c r="E1179" s="88" t="str">
        <x:f>IF(C1179="","",ROUND(D1179*$P$28/12,2))</x:f>
      </x:c>
      <x:c r="F1179" s="88" t="str">
        <x:f>IF(C1179="","",MIN(D1179+E1179,$Q$28))</x:f>
      </x:c>
      <x:c r="G1179" s="88" t="str">
        <x:f>IF(C1179="","",MIN(MAX(0,D1179+E1179-F1179),SUMIFS(SONDERZAHLUNGEN!$E$9:$E$128,SONDERZAHLUNGEN!$B$9:$B$128,C1179,SONDERZAHLUNGEN!$C$9:$C$128,A1179,SONDERZAHLUNGEN!$H$9:$H$128,"OK",SONDERZAHLUNGEN!$F$9:$F$128,"Ja")))</x:f>
      </x:c>
      <x:c r="H1179" s="88" t="str">
        <x:f>IF(C1179="","",MIN(MAX(0,D1179+E1179-F1179-G1179),MAX(0,IF(MONATSBUDGET!$C$65="",0,MONATSBUDGET!$C$65)-SUM(F1160:F1179)-SUM(H1160:H1178))))</x:f>
      </x:c>
      <x:c r="I1179" s="88" t="str">
        <x:f>IF(C1179="","",MAX(0,ROUND(D1179+E1179-F1179-G1179-H1179,2)))</x:f>
      </x:c>
      <x:c r="J1179" s="88" t="str">
        <x:f>IF(C1179="","",F1179+G1179+H1179)</x:f>
      </x:c>
      <x:c r="K1179" s="88" t="str">
        <x:f>IF(C1179="","",MAX(0,SUMIFS(SONDERZAHLUNGEN!$E$9:$E$128,SONDERZAHLUNGEN!$B$9:$B$128,C1179,SONDERZAHLUNGEN!$C$9:$C$128,A1179,SONDERZAHLUNGEN!$H$9:$H$128,"OK",SONDERZAHLUNGEN!$F$9:$F$128,"Ja")-G1179))</x:f>
      </x:c>
    </x:row>
    <x:row r="1180" ht="19" customHeight="1">
      <x:c r="A1180" s="90" t="n">
        <x:f>MONATSBUDGET!$A$66</x:f>
        <x:v>48000</x:v>
      </x:c>
      <x:c r="B1180" t="n">
        <x:f>1</x:f>
        <x:v>1</x:v>
      </x:c>
      <x:c r="C1180" t="str">
        <x:f>IF($N$9="","",$N$9)</x:f>
      </x:c>
      <x:c r="D1180" s="88" t="str">
        <x:f>IF(C1180="","",I1160)</x:f>
      </x:c>
      <x:c r="E1180" s="88" t="str">
        <x:f>IF(C1180="","",ROUND(D1180*$P$9/12,2))</x:f>
      </x:c>
      <x:c r="F1180" s="88" t="str">
        <x:f>IF(C1180="","",MIN(D1180+E1180,$Q$9))</x:f>
      </x:c>
      <x:c r="G1180" s="88" t="str">
        <x:f>IF(C1180="","",MIN(MAX(0,D1180+E1180-F1180),SUMIFS(SONDERZAHLUNGEN!$E$9:$E$128,SONDERZAHLUNGEN!$B$9:$B$128,C1180,SONDERZAHLUNGEN!$C$9:$C$128,A1180,SONDERZAHLUNGEN!$H$9:$H$128,"OK",SONDERZAHLUNGEN!$F$9:$F$128,"Ja")))</x:f>
      </x:c>
      <x:c r="H1180" s="88" t="str">
        <x:f>IF(C1180="","",MIN(MAX(0,D1180+E1180-F1180-G1180),MAX(0,IF(MONATSBUDGET!$C$66="",0,MONATSBUDGET!$C$66)-SUM(F1180:F1199)-0)))</x:f>
      </x:c>
      <x:c r="I1180" s="88" t="str">
        <x:f>IF(C1180="","",MAX(0,ROUND(D1180+E1180-F1180-G1180-H1180,2)))</x:f>
      </x:c>
      <x:c r="J1180" s="88" t="str">
        <x:f>IF(C1180="","",F1180+G1180+H1180)</x:f>
      </x:c>
      <x:c r="K1180" s="88" t="str">
        <x:f>IF(C1180="","",MAX(0,SUMIFS(SONDERZAHLUNGEN!$E$9:$E$128,SONDERZAHLUNGEN!$B$9:$B$128,C1180,SONDERZAHLUNGEN!$C$9:$C$128,A1180,SONDERZAHLUNGEN!$H$9:$H$128,"OK",SONDERZAHLUNGEN!$F$9:$F$128,"Ja")-G1180))</x:f>
      </x:c>
    </x:row>
    <x:row r="1181" ht="19" customHeight="1">
      <x:c r="A1181" s="90" t="n">
        <x:f>MONATSBUDGET!$A$66</x:f>
        <x:v>48000</x:v>
      </x:c>
      <x:c r="B1181" t="n">
        <x:f>2</x:f>
        <x:v>2</x:v>
      </x:c>
      <x:c r="C1181" t="str">
        <x:f>IF($N$10="","",$N$10)</x:f>
      </x:c>
      <x:c r="D1181" s="88" t="str">
        <x:f>IF(C1181="","",I1161)</x:f>
      </x:c>
      <x:c r="E1181" s="88" t="str">
        <x:f>IF(C1181="","",ROUND(D1181*$P$10/12,2))</x:f>
      </x:c>
      <x:c r="F1181" s="88" t="str">
        <x:f>IF(C1181="","",MIN(D1181+E1181,$Q$10))</x:f>
      </x:c>
      <x:c r="G1181" s="88" t="str">
        <x:f>IF(C1181="","",MIN(MAX(0,D1181+E1181-F1181),SUMIFS(SONDERZAHLUNGEN!$E$9:$E$128,SONDERZAHLUNGEN!$B$9:$B$128,C1181,SONDERZAHLUNGEN!$C$9:$C$128,A1181,SONDERZAHLUNGEN!$H$9:$H$128,"OK",SONDERZAHLUNGEN!$F$9:$F$128,"Ja")))</x:f>
      </x:c>
      <x:c r="H1181" s="88" t="str">
        <x:f>IF(C1181="","",MIN(MAX(0,D1181+E1181-F1181-G1181),MAX(0,IF(MONATSBUDGET!$C$66="",0,MONATSBUDGET!$C$66)-SUM(F1180:F1199)-SUM(H1180:H1180))))</x:f>
      </x:c>
      <x:c r="I1181" s="88" t="str">
        <x:f>IF(C1181="","",MAX(0,ROUND(D1181+E1181-F1181-G1181-H1181,2)))</x:f>
      </x:c>
      <x:c r="J1181" s="88" t="str">
        <x:f>IF(C1181="","",F1181+G1181+H1181)</x:f>
      </x:c>
      <x:c r="K1181" s="88" t="str">
        <x:f>IF(C1181="","",MAX(0,SUMIFS(SONDERZAHLUNGEN!$E$9:$E$128,SONDERZAHLUNGEN!$B$9:$B$128,C1181,SONDERZAHLUNGEN!$C$9:$C$128,A1181,SONDERZAHLUNGEN!$H$9:$H$128,"OK",SONDERZAHLUNGEN!$F$9:$F$128,"Ja")-G1181))</x:f>
      </x:c>
    </x:row>
    <x:row r="1182" ht="19" customHeight="1">
      <x:c r="A1182" s="90" t="n">
        <x:f>MONATSBUDGET!$A$66</x:f>
        <x:v>48000</x:v>
      </x:c>
      <x:c r="B1182" t="n">
        <x:f>3</x:f>
        <x:v>3</x:v>
      </x:c>
      <x:c r="C1182" t="str">
        <x:f>IF($N$11="","",$N$11)</x:f>
      </x:c>
      <x:c r="D1182" s="88" t="str">
        <x:f>IF(C1182="","",I1162)</x:f>
      </x:c>
      <x:c r="E1182" s="88" t="str">
        <x:f>IF(C1182="","",ROUND(D1182*$P$11/12,2))</x:f>
      </x:c>
      <x:c r="F1182" s="88" t="str">
        <x:f>IF(C1182="","",MIN(D1182+E1182,$Q$11))</x:f>
      </x:c>
      <x:c r="G1182" s="88" t="str">
        <x:f>IF(C1182="","",MIN(MAX(0,D1182+E1182-F1182),SUMIFS(SONDERZAHLUNGEN!$E$9:$E$128,SONDERZAHLUNGEN!$B$9:$B$128,C1182,SONDERZAHLUNGEN!$C$9:$C$128,A1182,SONDERZAHLUNGEN!$H$9:$H$128,"OK",SONDERZAHLUNGEN!$F$9:$F$128,"Ja")))</x:f>
      </x:c>
      <x:c r="H1182" s="88" t="str">
        <x:f>IF(C1182="","",MIN(MAX(0,D1182+E1182-F1182-G1182),MAX(0,IF(MONATSBUDGET!$C$66="",0,MONATSBUDGET!$C$66)-SUM(F1180:F1199)-SUM(H1180:H1181))))</x:f>
      </x:c>
      <x:c r="I1182" s="88" t="str">
        <x:f>IF(C1182="","",MAX(0,ROUND(D1182+E1182-F1182-G1182-H1182,2)))</x:f>
      </x:c>
      <x:c r="J1182" s="88" t="str">
        <x:f>IF(C1182="","",F1182+G1182+H1182)</x:f>
      </x:c>
      <x:c r="K1182" s="88" t="str">
        <x:f>IF(C1182="","",MAX(0,SUMIFS(SONDERZAHLUNGEN!$E$9:$E$128,SONDERZAHLUNGEN!$B$9:$B$128,C1182,SONDERZAHLUNGEN!$C$9:$C$128,A1182,SONDERZAHLUNGEN!$H$9:$H$128,"OK",SONDERZAHLUNGEN!$F$9:$F$128,"Ja")-G1182))</x:f>
      </x:c>
    </x:row>
    <x:row r="1183" ht="19" customHeight="1">
      <x:c r="A1183" s="90" t="n">
        <x:f>MONATSBUDGET!$A$66</x:f>
        <x:v>48000</x:v>
      </x:c>
      <x:c r="B1183" t="n">
        <x:f>4</x:f>
        <x:v>4</x:v>
      </x:c>
      <x:c r="C1183" t="str">
        <x:f>IF($N$12="","",$N$12)</x:f>
      </x:c>
      <x:c r="D1183" s="88" t="str">
        <x:f>IF(C1183="","",I1163)</x:f>
      </x:c>
      <x:c r="E1183" s="88" t="str">
        <x:f>IF(C1183="","",ROUND(D1183*$P$12/12,2))</x:f>
      </x:c>
      <x:c r="F1183" s="88" t="str">
        <x:f>IF(C1183="","",MIN(D1183+E1183,$Q$12))</x:f>
      </x:c>
      <x:c r="G1183" s="88" t="str">
        <x:f>IF(C1183="","",MIN(MAX(0,D1183+E1183-F1183),SUMIFS(SONDERZAHLUNGEN!$E$9:$E$128,SONDERZAHLUNGEN!$B$9:$B$128,C1183,SONDERZAHLUNGEN!$C$9:$C$128,A1183,SONDERZAHLUNGEN!$H$9:$H$128,"OK",SONDERZAHLUNGEN!$F$9:$F$128,"Ja")))</x:f>
      </x:c>
      <x:c r="H1183" s="88" t="str">
        <x:f>IF(C1183="","",MIN(MAX(0,D1183+E1183-F1183-G1183),MAX(0,IF(MONATSBUDGET!$C$66="",0,MONATSBUDGET!$C$66)-SUM(F1180:F1199)-SUM(H1180:H1182))))</x:f>
      </x:c>
      <x:c r="I1183" s="88" t="str">
        <x:f>IF(C1183="","",MAX(0,ROUND(D1183+E1183-F1183-G1183-H1183,2)))</x:f>
      </x:c>
      <x:c r="J1183" s="88" t="str">
        <x:f>IF(C1183="","",F1183+G1183+H1183)</x:f>
      </x:c>
      <x:c r="K1183" s="88" t="str">
        <x:f>IF(C1183="","",MAX(0,SUMIFS(SONDERZAHLUNGEN!$E$9:$E$128,SONDERZAHLUNGEN!$B$9:$B$128,C1183,SONDERZAHLUNGEN!$C$9:$C$128,A1183,SONDERZAHLUNGEN!$H$9:$H$128,"OK",SONDERZAHLUNGEN!$F$9:$F$128,"Ja")-G1183))</x:f>
      </x:c>
    </x:row>
    <x:row r="1184" ht="19" customHeight="1">
      <x:c r="A1184" s="90" t="n">
        <x:f>MONATSBUDGET!$A$66</x:f>
        <x:v>48000</x:v>
      </x:c>
      <x:c r="B1184" t="n">
        <x:f>5</x:f>
        <x:v>5</x:v>
      </x:c>
      <x:c r="C1184" t="str">
        <x:f>IF($N$13="","",$N$13)</x:f>
      </x:c>
      <x:c r="D1184" s="88" t="str">
        <x:f>IF(C1184="","",I1164)</x:f>
      </x:c>
      <x:c r="E1184" s="88" t="str">
        <x:f>IF(C1184="","",ROUND(D1184*$P$13/12,2))</x:f>
      </x:c>
      <x:c r="F1184" s="88" t="str">
        <x:f>IF(C1184="","",MIN(D1184+E1184,$Q$13))</x:f>
      </x:c>
      <x:c r="G1184" s="88" t="str">
        <x:f>IF(C1184="","",MIN(MAX(0,D1184+E1184-F1184),SUMIFS(SONDERZAHLUNGEN!$E$9:$E$128,SONDERZAHLUNGEN!$B$9:$B$128,C1184,SONDERZAHLUNGEN!$C$9:$C$128,A1184,SONDERZAHLUNGEN!$H$9:$H$128,"OK",SONDERZAHLUNGEN!$F$9:$F$128,"Ja")))</x:f>
      </x:c>
      <x:c r="H1184" s="88" t="str">
        <x:f>IF(C1184="","",MIN(MAX(0,D1184+E1184-F1184-G1184),MAX(0,IF(MONATSBUDGET!$C$66="",0,MONATSBUDGET!$C$66)-SUM(F1180:F1199)-SUM(H1180:H1183))))</x:f>
      </x:c>
      <x:c r="I1184" s="88" t="str">
        <x:f>IF(C1184="","",MAX(0,ROUND(D1184+E1184-F1184-G1184-H1184,2)))</x:f>
      </x:c>
      <x:c r="J1184" s="88" t="str">
        <x:f>IF(C1184="","",F1184+G1184+H1184)</x:f>
      </x:c>
      <x:c r="K1184" s="88" t="str">
        <x:f>IF(C1184="","",MAX(0,SUMIFS(SONDERZAHLUNGEN!$E$9:$E$128,SONDERZAHLUNGEN!$B$9:$B$128,C1184,SONDERZAHLUNGEN!$C$9:$C$128,A1184,SONDERZAHLUNGEN!$H$9:$H$128,"OK",SONDERZAHLUNGEN!$F$9:$F$128,"Ja")-G1184))</x:f>
      </x:c>
    </x:row>
    <x:row r="1185" ht="19" customHeight="1">
      <x:c r="A1185" s="90" t="n">
        <x:f>MONATSBUDGET!$A$66</x:f>
        <x:v>48000</x:v>
      </x:c>
      <x:c r="B1185" t="n">
        <x:f>6</x:f>
        <x:v>6</x:v>
      </x:c>
      <x:c r="C1185" t="str">
        <x:f>IF($N$14="","",$N$14)</x:f>
      </x:c>
      <x:c r="D1185" s="88" t="str">
        <x:f>IF(C1185="","",I1165)</x:f>
      </x:c>
      <x:c r="E1185" s="88" t="str">
        <x:f>IF(C1185="","",ROUND(D1185*$P$14/12,2))</x:f>
      </x:c>
      <x:c r="F1185" s="88" t="str">
        <x:f>IF(C1185="","",MIN(D1185+E1185,$Q$14))</x:f>
      </x:c>
      <x:c r="G1185" s="88" t="str">
        <x:f>IF(C1185="","",MIN(MAX(0,D1185+E1185-F1185),SUMIFS(SONDERZAHLUNGEN!$E$9:$E$128,SONDERZAHLUNGEN!$B$9:$B$128,C1185,SONDERZAHLUNGEN!$C$9:$C$128,A1185,SONDERZAHLUNGEN!$H$9:$H$128,"OK",SONDERZAHLUNGEN!$F$9:$F$128,"Ja")))</x:f>
      </x:c>
      <x:c r="H1185" s="88" t="str">
        <x:f>IF(C1185="","",MIN(MAX(0,D1185+E1185-F1185-G1185),MAX(0,IF(MONATSBUDGET!$C$66="",0,MONATSBUDGET!$C$66)-SUM(F1180:F1199)-SUM(H1180:H1184))))</x:f>
      </x:c>
      <x:c r="I1185" s="88" t="str">
        <x:f>IF(C1185="","",MAX(0,ROUND(D1185+E1185-F1185-G1185-H1185,2)))</x:f>
      </x:c>
      <x:c r="J1185" s="88" t="str">
        <x:f>IF(C1185="","",F1185+G1185+H1185)</x:f>
      </x:c>
      <x:c r="K1185" s="88" t="str">
        <x:f>IF(C1185="","",MAX(0,SUMIFS(SONDERZAHLUNGEN!$E$9:$E$128,SONDERZAHLUNGEN!$B$9:$B$128,C1185,SONDERZAHLUNGEN!$C$9:$C$128,A1185,SONDERZAHLUNGEN!$H$9:$H$128,"OK",SONDERZAHLUNGEN!$F$9:$F$128,"Ja")-G1185))</x:f>
      </x:c>
    </x:row>
    <x:row r="1186" ht="19" customHeight="1">
      <x:c r="A1186" s="90" t="n">
        <x:f>MONATSBUDGET!$A$66</x:f>
        <x:v>48000</x:v>
      </x:c>
      <x:c r="B1186" t="n">
        <x:f>7</x:f>
        <x:v>7</x:v>
      </x:c>
      <x:c r="C1186" t="str">
        <x:f>IF($N$15="","",$N$15)</x:f>
      </x:c>
      <x:c r="D1186" s="88" t="str">
        <x:f>IF(C1186="","",I1166)</x:f>
      </x:c>
      <x:c r="E1186" s="88" t="str">
        <x:f>IF(C1186="","",ROUND(D1186*$P$15/12,2))</x:f>
      </x:c>
      <x:c r="F1186" s="88" t="str">
        <x:f>IF(C1186="","",MIN(D1186+E1186,$Q$15))</x:f>
      </x:c>
      <x:c r="G1186" s="88" t="str">
        <x:f>IF(C1186="","",MIN(MAX(0,D1186+E1186-F1186),SUMIFS(SONDERZAHLUNGEN!$E$9:$E$128,SONDERZAHLUNGEN!$B$9:$B$128,C1186,SONDERZAHLUNGEN!$C$9:$C$128,A1186,SONDERZAHLUNGEN!$H$9:$H$128,"OK",SONDERZAHLUNGEN!$F$9:$F$128,"Ja")))</x:f>
      </x:c>
      <x:c r="H1186" s="88" t="str">
        <x:f>IF(C1186="","",MIN(MAX(0,D1186+E1186-F1186-G1186),MAX(0,IF(MONATSBUDGET!$C$66="",0,MONATSBUDGET!$C$66)-SUM(F1180:F1199)-SUM(H1180:H1185))))</x:f>
      </x:c>
      <x:c r="I1186" s="88" t="str">
        <x:f>IF(C1186="","",MAX(0,ROUND(D1186+E1186-F1186-G1186-H1186,2)))</x:f>
      </x:c>
      <x:c r="J1186" s="88" t="str">
        <x:f>IF(C1186="","",F1186+G1186+H1186)</x:f>
      </x:c>
      <x:c r="K1186" s="88" t="str">
        <x:f>IF(C1186="","",MAX(0,SUMIFS(SONDERZAHLUNGEN!$E$9:$E$128,SONDERZAHLUNGEN!$B$9:$B$128,C1186,SONDERZAHLUNGEN!$C$9:$C$128,A1186,SONDERZAHLUNGEN!$H$9:$H$128,"OK",SONDERZAHLUNGEN!$F$9:$F$128,"Ja")-G1186))</x:f>
      </x:c>
    </x:row>
    <x:row r="1187" ht="19" customHeight="1">
      <x:c r="A1187" s="90" t="n">
        <x:f>MONATSBUDGET!$A$66</x:f>
        <x:v>48000</x:v>
      </x:c>
      <x:c r="B1187" t="n">
        <x:f>8</x:f>
        <x:v>8</x:v>
      </x:c>
      <x:c r="C1187" t="str">
        <x:f>IF($N$16="","",$N$16)</x:f>
      </x:c>
      <x:c r="D1187" s="88" t="str">
        <x:f>IF(C1187="","",I1167)</x:f>
      </x:c>
      <x:c r="E1187" s="88" t="str">
        <x:f>IF(C1187="","",ROUND(D1187*$P$16/12,2))</x:f>
      </x:c>
      <x:c r="F1187" s="88" t="str">
        <x:f>IF(C1187="","",MIN(D1187+E1187,$Q$16))</x:f>
      </x:c>
      <x:c r="G1187" s="88" t="str">
        <x:f>IF(C1187="","",MIN(MAX(0,D1187+E1187-F1187),SUMIFS(SONDERZAHLUNGEN!$E$9:$E$128,SONDERZAHLUNGEN!$B$9:$B$128,C1187,SONDERZAHLUNGEN!$C$9:$C$128,A1187,SONDERZAHLUNGEN!$H$9:$H$128,"OK",SONDERZAHLUNGEN!$F$9:$F$128,"Ja")))</x:f>
      </x:c>
      <x:c r="H1187" s="88" t="str">
        <x:f>IF(C1187="","",MIN(MAX(0,D1187+E1187-F1187-G1187),MAX(0,IF(MONATSBUDGET!$C$66="",0,MONATSBUDGET!$C$66)-SUM(F1180:F1199)-SUM(H1180:H1186))))</x:f>
      </x:c>
      <x:c r="I1187" s="88" t="str">
        <x:f>IF(C1187="","",MAX(0,ROUND(D1187+E1187-F1187-G1187-H1187,2)))</x:f>
      </x:c>
      <x:c r="J1187" s="88" t="str">
        <x:f>IF(C1187="","",F1187+G1187+H1187)</x:f>
      </x:c>
      <x:c r="K1187" s="88" t="str">
        <x:f>IF(C1187="","",MAX(0,SUMIFS(SONDERZAHLUNGEN!$E$9:$E$128,SONDERZAHLUNGEN!$B$9:$B$128,C1187,SONDERZAHLUNGEN!$C$9:$C$128,A1187,SONDERZAHLUNGEN!$H$9:$H$128,"OK",SONDERZAHLUNGEN!$F$9:$F$128,"Ja")-G1187))</x:f>
      </x:c>
    </x:row>
    <x:row r="1188" ht="19" customHeight="1">
      <x:c r="A1188" s="90" t="n">
        <x:f>MONATSBUDGET!$A$66</x:f>
        <x:v>48000</x:v>
      </x:c>
      <x:c r="B1188" t="n">
        <x:f>9</x:f>
        <x:v>9</x:v>
      </x:c>
      <x:c r="C1188" t="str">
        <x:f>IF($N$17="","",$N$17)</x:f>
      </x:c>
      <x:c r="D1188" s="88" t="str">
        <x:f>IF(C1188="","",I1168)</x:f>
      </x:c>
      <x:c r="E1188" s="88" t="str">
        <x:f>IF(C1188="","",ROUND(D1188*$P$17/12,2))</x:f>
      </x:c>
      <x:c r="F1188" s="88" t="str">
        <x:f>IF(C1188="","",MIN(D1188+E1188,$Q$17))</x:f>
      </x:c>
      <x:c r="G1188" s="88" t="str">
        <x:f>IF(C1188="","",MIN(MAX(0,D1188+E1188-F1188),SUMIFS(SONDERZAHLUNGEN!$E$9:$E$128,SONDERZAHLUNGEN!$B$9:$B$128,C1188,SONDERZAHLUNGEN!$C$9:$C$128,A1188,SONDERZAHLUNGEN!$H$9:$H$128,"OK",SONDERZAHLUNGEN!$F$9:$F$128,"Ja")))</x:f>
      </x:c>
      <x:c r="H1188" s="88" t="str">
        <x:f>IF(C1188="","",MIN(MAX(0,D1188+E1188-F1188-G1188),MAX(0,IF(MONATSBUDGET!$C$66="",0,MONATSBUDGET!$C$66)-SUM(F1180:F1199)-SUM(H1180:H1187))))</x:f>
      </x:c>
      <x:c r="I1188" s="88" t="str">
        <x:f>IF(C1188="","",MAX(0,ROUND(D1188+E1188-F1188-G1188-H1188,2)))</x:f>
      </x:c>
      <x:c r="J1188" s="88" t="str">
        <x:f>IF(C1188="","",F1188+G1188+H1188)</x:f>
      </x:c>
      <x:c r="K1188" s="88" t="str">
        <x:f>IF(C1188="","",MAX(0,SUMIFS(SONDERZAHLUNGEN!$E$9:$E$128,SONDERZAHLUNGEN!$B$9:$B$128,C1188,SONDERZAHLUNGEN!$C$9:$C$128,A1188,SONDERZAHLUNGEN!$H$9:$H$128,"OK",SONDERZAHLUNGEN!$F$9:$F$128,"Ja")-G1188))</x:f>
      </x:c>
    </x:row>
    <x:row r="1189" ht="19" customHeight="1">
      <x:c r="A1189" s="90" t="n">
        <x:f>MONATSBUDGET!$A$66</x:f>
        <x:v>48000</x:v>
      </x:c>
      <x:c r="B1189" t="n">
        <x:f>10</x:f>
        <x:v>10</x:v>
      </x:c>
      <x:c r="C1189" t="str">
        <x:f>IF($N$18="","",$N$18)</x:f>
      </x:c>
      <x:c r="D1189" s="88" t="str">
        <x:f>IF(C1189="","",I1169)</x:f>
      </x:c>
      <x:c r="E1189" s="88" t="str">
        <x:f>IF(C1189="","",ROUND(D1189*$P$18/12,2))</x:f>
      </x:c>
      <x:c r="F1189" s="88" t="str">
        <x:f>IF(C1189="","",MIN(D1189+E1189,$Q$18))</x:f>
      </x:c>
      <x:c r="G1189" s="88" t="str">
        <x:f>IF(C1189="","",MIN(MAX(0,D1189+E1189-F1189),SUMIFS(SONDERZAHLUNGEN!$E$9:$E$128,SONDERZAHLUNGEN!$B$9:$B$128,C1189,SONDERZAHLUNGEN!$C$9:$C$128,A1189,SONDERZAHLUNGEN!$H$9:$H$128,"OK",SONDERZAHLUNGEN!$F$9:$F$128,"Ja")))</x:f>
      </x:c>
      <x:c r="H1189" s="88" t="str">
        <x:f>IF(C1189="","",MIN(MAX(0,D1189+E1189-F1189-G1189),MAX(0,IF(MONATSBUDGET!$C$66="",0,MONATSBUDGET!$C$66)-SUM(F1180:F1199)-SUM(H1180:H1188))))</x:f>
      </x:c>
      <x:c r="I1189" s="88" t="str">
        <x:f>IF(C1189="","",MAX(0,ROUND(D1189+E1189-F1189-G1189-H1189,2)))</x:f>
      </x:c>
      <x:c r="J1189" s="88" t="str">
        <x:f>IF(C1189="","",F1189+G1189+H1189)</x:f>
      </x:c>
      <x:c r="K1189" s="88" t="str">
        <x:f>IF(C1189="","",MAX(0,SUMIFS(SONDERZAHLUNGEN!$E$9:$E$128,SONDERZAHLUNGEN!$B$9:$B$128,C1189,SONDERZAHLUNGEN!$C$9:$C$128,A1189,SONDERZAHLUNGEN!$H$9:$H$128,"OK",SONDERZAHLUNGEN!$F$9:$F$128,"Ja")-G1189))</x:f>
      </x:c>
    </x:row>
    <x:row r="1190" ht="19" customHeight="1">
      <x:c r="A1190" s="90" t="n">
        <x:f>MONATSBUDGET!$A$66</x:f>
        <x:v>48000</x:v>
      </x:c>
      <x:c r="B1190" t="n">
        <x:f>11</x:f>
        <x:v>11</x:v>
      </x:c>
      <x:c r="C1190" t="str">
        <x:f>IF($N$19="","",$N$19)</x:f>
      </x:c>
      <x:c r="D1190" s="88" t="str">
        <x:f>IF(C1190="","",I1170)</x:f>
      </x:c>
      <x:c r="E1190" s="88" t="str">
        <x:f>IF(C1190="","",ROUND(D1190*$P$19/12,2))</x:f>
      </x:c>
      <x:c r="F1190" s="88" t="str">
        <x:f>IF(C1190="","",MIN(D1190+E1190,$Q$19))</x:f>
      </x:c>
      <x:c r="G1190" s="88" t="str">
        <x:f>IF(C1190="","",MIN(MAX(0,D1190+E1190-F1190),SUMIFS(SONDERZAHLUNGEN!$E$9:$E$128,SONDERZAHLUNGEN!$B$9:$B$128,C1190,SONDERZAHLUNGEN!$C$9:$C$128,A1190,SONDERZAHLUNGEN!$H$9:$H$128,"OK",SONDERZAHLUNGEN!$F$9:$F$128,"Ja")))</x:f>
      </x:c>
      <x:c r="H1190" s="88" t="str">
        <x:f>IF(C1190="","",MIN(MAX(0,D1190+E1190-F1190-G1190),MAX(0,IF(MONATSBUDGET!$C$66="",0,MONATSBUDGET!$C$66)-SUM(F1180:F1199)-SUM(H1180:H1189))))</x:f>
      </x:c>
      <x:c r="I1190" s="88" t="str">
        <x:f>IF(C1190="","",MAX(0,ROUND(D1190+E1190-F1190-G1190-H1190,2)))</x:f>
      </x:c>
      <x:c r="J1190" s="88" t="str">
        <x:f>IF(C1190="","",F1190+G1190+H1190)</x:f>
      </x:c>
      <x:c r="K1190" s="88" t="str">
        <x:f>IF(C1190="","",MAX(0,SUMIFS(SONDERZAHLUNGEN!$E$9:$E$128,SONDERZAHLUNGEN!$B$9:$B$128,C1190,SONDERZAHLUNGEN!$C$9:$C$128,A1190,SONDERZAHLUNGEN!$H$9:$H$128,"OK",SONDERZAHLUNGEN!$F$9:$F$128,"Ja")-G1190))</x:f>
      </x:c>
    </x:row>
    <x:row r="1191" ht="19" customHeight="1">
      <x:c r="A1191" s="90" t="n">
        <x:f>MONATSBUDGET!$A$66</x:f>
        <x:v>48000</x:v>
      </x:c>
      <x:c r="B1191" t="n">
        <x:f>12</x:f>
        <x:v>12</x:v>
      </x:c>
      <x:c r="C1191" t="str">
        <x:f>IF($N$20="","",$N$20)</x:f>
      </x:c>
      <x:c r="D1191" s="88" t="str">
        <x:f>IF(C1191="","",I1171)</x:f>
      </x:c>
      <x:c r="E1191" s="88" t="str">
        <x:f>IF(C1191="","",ROUND(D1191*$P$20/12,2))</x:f>
      </x:c>
      <x:c r="F1191" s="88" t="str">
        <x:f>IF(C1191="","",MIN(D1191+E1191,$Q$20))</x:f>
      </x:c>
      <x:c r="G1191" s="88" t="str">
        <x:f>IF(C1191="","",MIN(MAX(0,D1191+E1191-F1191),SUMIFS(SONDERZAHLUNGEN!$E$9:$E$128,SONDERZAHLUNGEN!$B$9:$B$128,C1191,SONDERZAHLUNGEN!$C$9:$C$128,A1191,SONDERZAHLUNGEN!$H$9:$H$128,"OK",SONDERZAHLUNGEN!$F$9:$F$128,"Ja")))</x:f>
      </x:c>
      <x:c r="H1191" s="88" t="str">
        <x:f>IF(C1191="","",MIN(MAX(0,D1191+E1191-F1191-G1191),MAX(0,IF(MONATSBUDGET!$C$66="",0,MONATSBUDGET!$C$66)-SUM(F1180:F1199)-SUM(H1180:H1190))))</x:f>
      </x:c>
      <x:c r="I1191" s="88" t="str">
        <x:f>IF(C1191="","",MAX(0,ROUND(D1191+E1191-F1191-G1191-H1191,2)))</x:f>
      </x:c>
      <x:c r="J1191" s="88" t="str">
        <x:f>IF(C1191="","",F1191+G1191+H1191)</x:f>
      </x:c>
      <x:c r="K1191" s="88" t="str">
        <x:f>IF(C1191="","",MAX(0,SUMIFS(SONDERZAHLUNGEN!$E$9:$E$128,SONDERZAHLUNGEN!$B$9:$B$128,C1191,SONDERZAHLUNGEN!$C$9:$C$128,A1191,SONDERZAHLUNGEN!$H$9:$H$128,"OK",SONDERZAHLUNGEN!$F$9:$F$128,"Ja")-G1191))</x:f>
      </x:c>
    </x:row>
    <x:row r="1192" ht="19" customHeight="1">
      <x:c r="A1192" s="90" t="n">
        <x:f>MONATSBUDGET!$A$66</x:f>
        <x:v>48000</x:v>
      </x:c>
      <x:c r="B1192" t="n">
        <x:f>13</x:f>
        <x:v>13</x:v>
      </x:c>
      <x:c r="C1192" t="str">
        <x:f>IF($N$21="","",$N$21)</x:f>
      </x:c>
      <x:c r="D1192" s="88" t="str">
        <x:f>IF(C1192="","",I1172)</x:f>
      </x:c>
      <x:c r="E1192" s="88" t="str">
        <x:f>IF(C1192="","",ROUND(D1192*$P$21/12,2))</x:f>
      </x:c>
      <x:c r="F1192" s="88" t="str">
        <x:f>IF(C1192="","",MIN(D1192+E1192,$Q$21))</x:f>
      </x:c>
      <x:c r="G1192" s="88" t="str">
        <x:f>IF(C1192="","",MIN(MAX(0,D1192+E1192-F1192),SUMIFS(SONDERZAHLUNGEN!$E$9:$E$128,SONDERZAHLUNGEN!$B$9:$B$128,C1192,SONDERZAHLUNGEN!$C$9:$C$128,A1192,SONDERZAHLUNGEN!$H$9:$H$128,"OK",SONDERZAHLUNGEN!$F$9:$F$128,"Ja")))</x:f>
      </x:c>
      <x:c r="H1192" s="88" t="str">
        <x:f>IF(C1192="","",MIN(MAX(0,D1192+E1192-F1192-G1192),MAX(0,IF(MONATSBUDGET!$C$66="",0,MONATSBUDGET!$C$66)-SUM(F1180:F1199)-SUM(H1180:H1191))))</x:f>
      </x:c>
      <x:c r="I1192" s="88" t="str">
        <x:f>IF(C1192="","",MAX(0,ROUND(D1192+E1192-F1192-G1192-H1192,2)))</x:f>
      </x:c>
      <x:c r="J1192" s="88" t="str">
        <x:f>IF(C1192="","",F1192+G1192+H1192)</x:f>
      </x:c>
      <x:c r="K1192" s="88" t="str">
        <x:f>IF(C1192="","",MAX(0,SUMIFS(SONDERZAHLUNGEN!$E$9:$E$128,SONDERZAHLUNGEN!$B$9:$B$128,C1192,SONDERZAHLUNGEN!$C$9:$C$128,A1192,SONDERZAHLUNGEN!$H$9:$H$128,"OK",SONDERZAHLUNGEN!$F$9:$F$128,"Ja")-G1192))</x:f>
      </x:c>
    </x:row>
    <x:row r="1193" ht="19" customHeight="1">
      <x:c r="A1193" s="90" t="n">
        <x:f>MONATSBUDGET!$A$66</x:f>
        <x:v>48000</x:v>
      </x:c>
      <x:c r="B1193" t="n">
        <x:f>14</x:f>
        <x:v>14</x:v>
      </x:c>
      <x:c r="C1193" t="str">
        <x:f>IF($N$22="","",$N$22)</x:f>
      </x:c>
      <x:c r="D1193" s="88" t="str">
        <x:f>IF(C1193="","",I1173)</x:f>
      </x:c>
      <x:c r="E1193" s="88" t="str">
        <x:f>IF(C1193="","",ROUND(D1193*$P$22/12,2))</x:f>
      </x:c>
      <x:c r="F1193" s="88" t="str">
        <x:f>IF(C1193="","",MIN(D1193+E1193,$Q$22))</x:f>
      </x:c>
      <x:c r="G1193" s="88" t="str">
        <x:f>IF(C1193="","",MIN(MAX(0,D1193+E1193-F1193),SUMIFS(SONDERZAHLUNGEN!$E$9:$E$128,SONDERZAHLUNGEN!$B$9:$B$128,C1193,SONDERZAHLUNGEN!$C$9:$C$128,A1193,SONDERZAHLUNGEN!$H$9:$H$128,"OK",SONDERZAHLUNGEN!$F$9:$F$128,"Ja")))</x:f>
      </x:c>
      <x:c r="H1193" s="88" t="str">
        <x:f>IF(C1193="","",MIN(MAX(0,D1193+E1193-F1193-G1193),MAX(0,IF(MONATSBUDGET!$C$66="",0,MONATSBUDGET!$C$66)-SUM(F1180:F1199)-SUM(H1180:H1192))))</x:f>
      </x:c>
      <x:c r="I1193" s="88" t="str">
        <x:f>IF(C1193="","",MAX(0,ROUND(D1193+E1193-F1193-G1193-H1193,2)))</x:f>
      </x:c>
      <x:c r="J1193" s="88" t="str">
        <x:f>IF(C1193="","",F1193+G1193+H1193)</x:f>
      </x:c>
      <x:c r="K1193" s="88" t="str">
        <x:f>IF(C1193="","",MAX(0,SUMIFS(SONDERZAHLUNGEN!$E$9:$E$128,SONDERZAHLUNGEN!$B$9:$B$128,C1193,SONDERZAHLUNGEN!$C$9:$C$128,A1193,SONDERZAHLUNGEN!$H$9:$H$128,"OK",SONDERZAHLUNGEN!$F$9:$F$128,"Ja")-G1193))</x:f>
      </x:c>
    </x:row>
    <x:row r="1194" ht="19" customHeight="1">
      <x:c r="A1194" s="90" t="n">
        <x:f>MONATSBUDGET!$A$66</x:f>
        <x:v>48000</x:v>
      </x:c>
      <x:c r="B1194" t="n">
        <x:f>15</x:f>
        <x:v>15</x:v>
      </x:c>
      <x:c r="C1194" t="str">
        <x:f>IF($N$23="","",$N$23)</x:f>
      </x:c>
      <x:c r="D1194" s="88" t="str">
        <x:f>IF(C1194="","",I1174)</x:f>
      </x:c>
      <x:c r="E1194" s="88" t="str">
        <x:f>IF(C1194="","",ROUND(D1194*$P$23/12,2))</x:f>
      </x:c>
      <x:c r="F1194" s="88" t="str">
        <x:f>IF(C1194="","",MIN(D1194+E1194,$Q$23))</x:f>
      </x:c>
      <x:c r="G1194" s="88" t="str">
        <x:f>IF(C1194="","",MIN(MAX(0,D1194+E1194-F1194),SUMIFS(SONDERZAHLUNGEN!$E$9:$E$128,SONDERZAHLUNGEN!$B$9:$B$128,C1194,SONDERZAHLUNGEN!$C$9:$C$128,A1194,SONDERZAHLUNGEN!$H$9:$H$128,"OK",SONDERZAHLUNGEN!$F$9:$F$128,"Ja")))</x:f>
      </x:c>
      <x:c r="H1194" s="88" t="str">
        <x:f>IF(C1194="","",MIN(MAX(0,D1194+E1194-F1194-G1194),MAX(0,IF(MONATSBUDGET!$C$66="",0,MONATSBUDGET!$C$66)-SUM(F1180:F1199)-SUM(H1180:H1193))))</x:f>
      </x:c>
      <x:c r="I1194" s="88" t="str">
        <x:f>IF(C1194="","",MAX(0,ROUND(D1194+E1194-F1194-G1194-H1194,2)))</x:f>
      </x:c>
      <x:c r="J1194" s="88" t="str">
        <x:f>IF(C1194="","",F1194+G1194+H1194)</x:f>
      </x:c>
      <x:c r="K1194" s="88" t="str">
        <x:f>IF(C1194="","",MAX(0,SUMIFS(SONDERZAHLUNGEN!$E$9:$E$128,SONDERZAHLUNGEN!$B$9:$B$128,C1194,SONDERZAHLUNGEN!$C$9:$C$128,A1194,SONDERZAHLUNGEN!$H$9:$H$128,"OK",SONDERZAHLUNGEN!$F$9:$F$128,"Ja")-G1194))</x:f>
      </x:c>
    </x:row>
    <x:row r="1195" ht="19" customHeight="1">
      <x:c r="A1195" s="90" t="n">
        <x:f>MONATSBUDGET!$A$66</x:f>
        <x:v>48000</x:v>
      </x:c>
      <x:c r="B1195" t="n">
        <x:f>16</x:f>
        <x:v>16</x:v>
      </x:c>
      <x:c r="C1195" t="str">
        <x:f>IF($N$24="","",$N$24)</x:f>
      </x:c>
      <x:c r="D1195" s="88" t="str">
        <x:f>IF(C1195="","",I1175)</x:f>
      </x:c>
      <x:c r="E1195" s="88" t="str">
        <x:f>IF(C1195="","",ROUND(D1195*$P$24/12,2))</x:f>
      </x:c>
      <x:c r="F1195" s="88" t="str">
        <x:f>IF(C1195="","",MIN(D1195+E1195,$Q$24))</x:f>
      </x:c>
      <x:c r="G1195" s="88" t="str">
        <x:f>IF(C1195="","",MIN(MAX(0,D1195+E1195-F1195),SUMIFS(SONDERZAHLUNGEN!$E$9:$E$128,SONDERZAHLUNGEN!$B$9:$B$128,C1195,SONDERZAHLUNGEN!$C$9:$C$128,A1195,SONDERZAHLUNGEN!$H$9:$H$128,"OK",SONDERZAHLUNGEN!$F$9:$F$128,"Ja")))</x:f>
      </x:c>
      <x:c r="H1195" s="88" t="str">
        <x:f>IF(C1195="","",MIN(MAX(0,D1195+E1195-F1195-G1195),MAX(0,IF(MONATSBUDGET!$C$66="",0,MONATSBUDGET!$C$66)-SUM(F1180:F1199)-SUM(H1180:H1194))))</x:f>
      </x:c>
      <x:c r="I1195" s="88" t="str">
        <x:f>IF(C1195="","",MAX(0,ROUND(D1195+E1195-F1195-G1195-H1195,2)))</x:f>
      </x:c>
      <x:c r="J1195" s="88" t="str">
        <x:f>IF(C1195="","",F1195+G1195+H1195)</x:f>
      </x:c>
      <x:c r="K1195" s="88" t="str">
        <x:f>IF(C1195="","",MAX(0,SUMIFS(SONDERZAHLUNGEN!$E$9:$E$128,SONDERZAHLUNGEN!$B$9:$B$128,C1195,SONDERZAHLUNGEN!$C$9:$C$128,A1195,SONDERZAHLUNGEN!$H$9:$H$128,"OK",SONDERZAHLUNGEN!$F$9:$F$128,"Ja")-G1195))</x:f>
      </x:c>
    </x:row>
    <x:row r="1196" ht="19" customHeight="1">
      <x:c r="A1196" s="90" t="n">
        <x:f>MONATSBUDGET!$A$66</x:f>
        <x:v>48000</x:v>
      </x:c>
      <x:c r="B1196" t="n">
        <x:f>17</x:f>
        <x:v>17</x:v>
      </x:c>
      <x:c r="C1196" t="str">
        <x:f>IF($N$25="","",$N$25)</x:f>
      </x:c>
      <x:c r="D1196" s="88" t="str">
        <x:f>IF(C1196="","",I1176)</x:f>
      </x:c>
      <x:c r="E1196" s="88" t="str">
        <x:f>IF(C1196="","",ROUND(D1196*$P$25/12,2))</x:f>
      </x:c>
      <x:c r="F1196" s="88" t="str">
        <x:f>IF(C1196="","",MIN(D1196+E1196,$Q$25))</x:f>
      </x:c>
      <x:c r="G1196" s="88" t="str">
        <x:f>IF(C1196="","",MIN(MAX(0,D1196+E1196-F1196),SUMIFS(SONDERZAHLUNGEN!$E$9:$E$128,SONDERZAHLUNGEN!$B$9:$B$128,C1196,SONDERZAHLUNGEN!$C$9:$C$128,A1196,SONDERZAHLUNGEN!$H$9:$H$128,"OK",SONDERZAHLUNGEN!$F$9:$F$128,"Ja")))</x:f>
      </x:c>
      <x:c r="H1196" s="88" t="str">
        <x:f>IF(C1196="","",MIN(MAX(0,D1196+E1196-F1196-G1196),MAX(0,IF(MONATSBUDGET!$C$66="",0,MONATSBUDGET!$C$66)-SUM(F1180:F1199)-SUM(H1180:H1195))))</x:f>
      </x:c>
      <x:c r="I1196" s="88" t="str">
        <x:f>IF(C1196="","",MAX(0,ROUND(D1196+E1196-F1196-G1196-H1196,2)))</x:f>
      </x:c>
      <x:c r="J1196" s="88" t="str">
        <x:f>IF(C1196="","",F1196+G1196+H1196)</x:f>
      </x:c>
      <x:c r="K1196" s="88" t="str">
        <x:f>IF(C1196="","",MAX(0,SUMIFS(SONDERZAHLUNGEN!$E$9:$E$128,SONDERZAHLUNGEN!$B$9:$B$128,C1196,SONDERZAHLUNGEN!$C$9:$C$128,A1196,SONDERZAHLUNGEN!$H$9:$H$128,"OK",SONDERZAHLUNGEN!$F$9:$F$128,"Ja")-G1196))</x:f>
      </x:c>
    </x:row>
    <x:row r="1197" ht="19" customHeight="1">
      <x:c r="A1197" s="90" t="n">
        <x:f>MONATSBUDGET!$A$66</x:f>
        <x:v>48000</x:v>
      </x:c>
      <x:c r="B1197" t="n">
        <x:f>18</x:f>
        <x:v>18</x:v>
      </x:c>
      <x:c r="C1197" t="str">
        <x:f>IF($N$26="","",$N$26)</x:f>
      </x:c>
      <x:c r="D1197" s="88" t="str">
        <x:f>IF(C1197="","",I1177)</x:f>
      </x:c>
      <x:c r="E1197" s="88" t="str">
        <x:f>IF(C1197="","",ROUND(D1197*$P$26/12,2))</x:f>
      </x:c>
      <x:c r="F1197" s="88" t="str">
        <x:f>IF(C1197="","",MIN(D1197+E1197,$Q$26))</x:f>
      </x:c>
      <x:c r="G1197" s="88" t="str">
        <x:f>IF(C1197="","",MIN(MAX(0,D1197+E1197-F1197),SUMIFS(SONDERZAHLUNGEN!$E$9:$E$128,SONDERZAHLUNGEN!$B$9:$B$128,C1197,SONDERZAHLUNGEN!$C$9:$C$128,A1197,SONDERZAHLUNGEN!$H$9:$H$128,"OK",SONDERZAHLUNGEN!$F$9:$F$128,"Ja")))</x:f>
      </x:c>
      <x:c r="H1197" s="88" t="str">
        <x:f>IF(C1197="","",MIN(MAX(0,D1197+E1197-F1197-G1197),MAX(0,IF(MONATSBUDGET!$C$66="",0,MONATSBUDGET!$C$66)-SUM(F1180:F1199)-SUM(H1180:H1196))))</x:f>
      </x:c>
      <x:c r="I1197" s="88" t="str">
        <x:f>IF(C1197="","",MAX(0,ROUND(D1197+E1197-F1197-G1197-H1197,2)))</x:f>
      </x:c>
      <x:c r="J1197" s="88" t="str">
        <x:f>IF(C1197="","",F1197+G1197+H1197)</x:f>
      </x:c>
      <x:c r="K1197" s="88" t="str">
        <x:f>IF(C1197="","",MAX(0,SUMIFS(SONDERZAHLUNGEN!$E$9:$E$128,SONDERZAHLUNGEN!$B$9:$B$128,C1197,SONDERZAHLUNGEN!$C$9:$C$128,A1197,SONDERZAHLUNGEN!$H$9:$H$128,"OK",SONDERZAHLUNGEN!$F$9:$F$128,"Ja")-G1197))</x:f>
      </x:c>
    </x:row>
    <x:row r="1198" ht="19" customHeight="1">
      <x:c r="A1198" s="90" t="n">
        <x:f>MONATSBUDGET!$A$66</x:f>
        <x:v>48000</x:v>
      </x:c>
      <x:c r="B1198" t="n">
        <x:f>19</x:f>
        <x:v>19</x:v>
      </x:c>
      <x:c r="C1198" t="str">
        <x:f>IF($N$27="","",$N$27)</x:f>
      </x:c>
      <x:c r="D1198" s="88" t="str">
        <x:f>IF(C1198="","",I1178)</x:f>
      </x:c>
      <x:c r="E1198" s="88" t="str">
        <x:f>IF(C1198="","",ROUND(D1198*$P$27/12,2))</x:f>
      </x:c>
      <x:c r="F1198" s="88" t="str">
        <x:f>IF(C1198="","",MIN(D1198+E1198,$Q$27))</x:f>
      </x:c>
      <x:c r="G1198" s="88" t="str">
        <x:f>IF(C1198="","",MIN(MAX(0,D1198+E1198-F1198),SUMIFS(SONDERZAHLUNGEN!$E$9:$E$128,SONDERZAHLUNGEN!$B$9:$B$128,C1198,SONDERZAHLUNGEN!$C$9:$C$128,A1198,SONDERZAHLUNGEN!$H$9:$H$128,"OK",SONDERZAHLUNGEN!$F$9:$F$128,"Ja")))</x:f>
      </x:c>
      <x:c r="H1198" s="88" t="str">
        <x:f>IF(C1198="","",MIN(MAX(0,D1198+E1198-F1198-G1198),MAX(0,IF(MONATSBUDGET!$C$66="",0,MONATSBUDGET!$C$66)-SUM(F1180:F1199)-SUM(H1180:H1197))))</x:f>
      </x:c>
      <x:c r="I1198" s="88" t="str">
        <x:f>IF(C1198="","",MAX(0,ROUND(D1198+E1198-F1198-G1198-H1198,2)))</x:f>
      </x:c>
      <x:c r="J1198" s="88" t="str">
        <x:f>IF(C1198="","",F1198+G1198+H1198)</x:f>
      </x:c>
      <x:c r="K1198" s="88" t="str">
        <x:f>IF(C1198="","",MAX(0,SUMIFS(SONDERZAHLUNGEN!$E$9:$E$128,SONDERZAHLUNGEN!$B$9:$B$128,C1198,SONDERZAHLUNGEN!$C$9:$C$128,A1198,SONDERZAHLUNGEN!$H$9:$H$128,"OK",SONDERZAHLUNGEN!$F$9:$F$128,"Ja")-G1198))</x:f>
      </x:c>
    </x:row>
    <x:row r="1199" ht="19" customHeight="1">
      <x:c r="A1199" s="90" t="n">
        <x:f>MONATSBUDGET!$A$66</x:f>
        <x:v>48000</x:v>
      </x:c>
      <x:c r="B1199" t="n">
        <x:f>20</x:f>
        <x:v>20</x:v>
      </x:c>
      <x:c r="C1199" t="str">
        <x:f>IF($N$28="","",$N$28)</x:f>
      </x:c>
      <x:c r="D1199" s="88" t="str">
        <x:f>IF(C1199="","",I1179)</x:f>
      </x:c>
      <x:c r="E1199" s="88" t="str">
        <x:f>IF(C1199="","",ROUND(D1199*$P$28/12,2))</x:f>
      </x:c>
      <x:c r="F1199" s="88" t="str">
        <x:f>IF(C1199="","",MIN(D1199+E1199,$Q$28))</x:f>
      </x:c>
      <x:c r="G1199" s="88" t="str">
        <x:f>IF(C1199="","",MIN(MAX(0,D1199+E1199-F1199),SUMIFS(SONDERZAHLUNGEN!$E$9:$E$128,SONDERZAHLUNGEN!$B$9:$B$128,C1199,SONDERZAHLUNGEN!$C$9:$C$128,A1199,SONDERZAHLUNGEN!$H$9:$H$128,"OK",SONDERZAHLUNGEN!$F$9:$F$128,"Ja")))</x:f>
      </x:c>
      <x:c r="H1199" s="88" t="str">
        <x:f>IF(C1199="","",MIN(MAX(0,D1199+E1199-F1199-G1199),MAX(0,IF(MONATSBUDGET!$C$66="",0,MONATSBUDGET!$C$66)-SUM(F1180:F1199)-SUM(H1180:H1198))))</x:f>
      </x:c>
      <x:c r="I1199" s="88" t="str">
        <x:f>IF(C1199="","",MAX(0,ROUND(D1199+E1199-F1199-G1199-H1199,2)))</x:f>
      </x:c>
      <x:c r="J1199" s="88" t="str">
        <x:f>IF(C1199="","",F1199+G1199+H1199)</x:f>
      </x:c>
      <x:c r="K1199" s="88" t="str">
        <x:f>IF(C1199="","",MAX(0,SUMIFS(SONDERZAHLUNGEN!$E$9:$E$128,SONDERZAHLUNGEN!$B$9:$B$128,C1199,SONDERZAHLUNGEN!$C$9:$C$128,A1199,SONDERZAHLUNGEN!$H$9:$H$128,"OK",SONDERZAHLUNGEN!$F$9:$F$128,"Ja")-G1199))</x:f>
      </x:c>
    </x:row>
    <x:row r="1200" ht="19" customHeight="1">
      <x:c r="A1200" s="90" t="n">
        <x:f>MONATSBUDGET!$A$67</x:f>
        <x:v>48030</x:v>
      </x:c>
      <x:c r="B1200" t="n">
        <x:f>1</x:f>
        <x:v>1</x:v>
      </x:c>
      <x:c r="C1200" t="str">
        <x:f>IF($N$9="","",$N$9)</x:f>
      </x:c>
      <x:c r="D1200" s="88" t="str">
        <x:f>IF(C1200="","",I1180)</x:f>
      </x:c>
      <x:c r="E1200" s="88" t="str">
        <x:f>IF(C1200="","",ROUND(D1200*$P$9/12,2))</x:f>
      </x:c>
      <x:c r="F1200" s="88" t="str">
        <x:f>IF(C1200="","",MIN(D1200+E1200,$Q$9))</x:f>
      </x:c>
      <x:c r="G1200" s="88" t="str">
        <x:f>IF(C1200="","",MIN(MAX(0,D1200+E1200-F1200),SUMIFS(SONDERZAHLUNGEN!$E$9:$E$128,SONDERZAHLUNGEN!$B$9:$B$128,C1200,SONDERZAHLUNGEN!$C$9:$C$128,A1200,SONDERZAHLUNGEN!$H$9:$H$128,"OK",SONDERZAHLUNGEN!$F$9:$F$128,"Ja")))</x:f>
      </x:c>
      <x:c r="H1200" s="88" t="str">
        <x:f>IF(C1200="","",MIN(MAX(0,D1200+E1200-F1200-G1200),MAX(0,IF(MONATSBUDGET!$C$67="",0,MONATSBUDGET!$C$67)-SUM(F1200:F1219)-0)))</x:f>
      </x:c>
      <x:c r="I1200" s="88" t="str">
        <x:f>IF(C1200="","",MAX(0,ROUND(D1200+E1200-F1200-G1200-H1200,2)))</x:f>
      </x:c>
      <x:c r="J1200" s="88" t="str">
        <x:f>IF(C1200="","",F1200+G1200+H1200)</x:f>
      </x:c>
      <x:c r="K1200" s="88" t="str">
        <x:f>IF(C1200="","",MAX(0,SUMIFS(SONDERZAHLUNGEN!$E$9:$E$128,SONDERZAHLUNGEN!$B$9:$B$128,C1200,SONDERZAHLUNGEN!$C$9:$C$128,A1200,SONDERZAHLUNGEN!$H$9:$H$128,"OK",SONDERZAHLUNGEN!$F$9:$F$128,"Ja")-G1200))</x:f>
      </x:c>
    </x:row>
    <x:row r="1201" ht="19" customHeight="1">
      <x:c r="A1201" s="90" t="n">
        <x:f>MONATSBUDGET!$A$67</x:f>
        <x:v>48030</x:v>
      </x:c>
      <x:c r="B1201" t="n">
        <x:f>2</x:f>
        <x:v>2</x:v>
      </x:c>
      <x:c r="C1201" t="str">
        <x:f>IF($N$10="","",$N$10)</x:f>
      </x:c>
      <x:c r="D1201" s="88" t="str">
        <x:f>IF(C1201="","",I1181)</x:f>
      </x:c>
      <x:c r="E1201" s="88" t="str">
        <x:f>IF(C1201="","",ROUND(D1201*$P$10/12,2))</x:f>
      </x:c>
      <x:c r="F1201" s="88" t="str">
        <x:f>IF(C1201="","",MIN(D1201+E1201,$Q$10))</x:f>
      </x:c>
      <x:c r="G1201" s="88" t="str">
        <x:f>IF(C1201="","",MIN(MAX(0,D1201+E1201-F1201),SUMIFS(SONDERZAHLUNGEN!$E$9:$E$128,SONDERZAHLUNGEN!$B$9:$B$128,C1201,SONDERZAHLUNGEN!$C$9:$C$128,A1201,SONDERZAHLUNGEN!$H$9:$H$128,"OK",SONDERZAHLUNGEN!$F$9:$F$128,"Ja")))</x:f>
      </x:c>
      <x:c r="H1201" s="88" t="str">
        <x:f>IF(C1201="","",MIN(MAX(0,D1201+E1201-F1201-G1201),MAX(0,IF(MONATSBUDGET!$C$67="",0,MONATSBUDGET!$C$67)-SUM(F1200:F1219)-SUM(H1200:H1200))))</x:f>
      </x:c>
      <x:c r="I1201" s="88" t="str">
        <x:f>IF(C1201="","",MAX(0,ROUND(D1201+E1201-F1201-G1201-H1201,2)))</x:f>
      </x:c>
      <x:c r="J1201" s="88" t="str">
        <x:f>IF(C1201="","",F1201+G1201+H1201)</x:f>
      </x:c>
      <x:c r="K1201" s="88" t="str">
        <x:f>IF(C1201="","",MAX(0,SUMIFS(SONDERZAHLUNGEN!$E$9:$E$128,SONDERZAHLUNGEN!$B$9:$B$128,C1201,SONDERZAHLUNGEN!$C$9:$C$128,A1201,SONDERZAHLUNGEN!$H$9:$H$128,"OK",SONDERZAHLUNGEN!$F$9:$F$128,"Ja")-G1201))</x:f>
      </x:c>
    </x:row>
    <x:row r="1202" ht="19" customHeight="1">
      <x:c r="A1202" s="90" t="n">
        <x:f>MONATSBUDGET!$A$67</x:f>
        <x:v>48030</x:v>
      </x:c>
      <x:c r="B1202" t="n">
        <x:f>3</x:f>
        <x:v>3</x:v>
      </x:c>
      <x:c r="C1202" t="str">
        <x:f>IF($N$11="","",$N$11)</x:f>
      </x:c>
      <x:c r="D1202" s="88" t="str">
        <x:f>IF(C1202="","",I1182)</x:f>
      </x:c>
      <x:c r="E1202" s="88" t="str">
        <x:f>IF(C1202="","",ROUND(D1202*$P$11/12,2))</x:f>
      </x:c>
      <x:c r="F1202" s="88" t="str">
        <x:f>IF(C1202="","",MIN(D1202+E1202,$Q$11))</x:f>
      </x:c>
      <x:c r="G1202" s="88" t="str">
        <x:f>IF(C1202="","",MIN(MAX(0,D1202+E1202-F1202),SUMIFS(SONDERZAHLUNGEN!$E$9:$E$128,SONDERZAHLUNGEN!$B$9:$B$128,C1202,SONDERZAHLUNGEN!$C$9:$C$128,A1202,SONDERZAHLUNGEN!$H$9:$H$128,"OK",SONDERZAHLUNGEN!$F$9:$F$128,"Ja")))</x:f>
      </x:c>
      <x:c r="H1202" s="88" t="str">
        <x:f>IF(C1202="","",MIN(MAX(0,D1202+E1202-F1202-G1202),MAX(0,IF(MONATSBUDGET!$C$67="",0,MONATSBUDGET!$C$67)-SUM(F1200:F1219)-SUM(H1200:H1201))))</x:f>
      </x:c>
      <x:c r="I1202" s="88" t="str">
        <x:f>IF(C1202="","",MAX(0,ROUND(D1202+E1202-F1202-G1202-H1202,2)))</x:f>
      </x:c>
      <x:c r="J1202" s="88" t="str">
        <x:f>IF(C1202="","",F1202+G1202+H1202)</x:f>
      </x:c>
      <x:c r="K1202" s="88" t="str">
        <x:f>IF(C1202="","",MAX(0,SUMIFS(SONDERZAHLUNGEN!$E$9:$E$128,SONDERZAHLUNGEN!$B$9:$B$128,C1202,SONDERZAHLUNGEN!$C$9:$C$128,A1202,SONDERZAHLUNGEN!$H$9:$H$128,"OK",SONDERZAHLUNGEN!$F$9:$F$128,"Ja")-G1202))</x:f>
      </x:c>
    </x:row>
    <x:row r="1203" ht="19" customHeight="1">
      <x:c r="A1203" s="90" t="n">
        <x:f>MONATSBUDGET!$A$67</x:f>
        <x:v>48030</x:v>
      </x:c>
      <x:c r="B1203" t="n">
        <x:f>4</x:f>
        <x:v>4</x:v>
      </x:c>
      <x:c r="C1203" t="str">
        <x:f>IF($N$12="","",$N$12)</x:f>
      </x:c>
      <x:c r="D1203" s="88" t="str">
        <x:f>IF(C1203="","",I1183)</x:f>
      </x:c>
      <x:c r="E1203" s="88" t="str">
        <x:f>IF(C1203="","",ROUND(D1203*$P$12/12,2))</x:f>
      </x:c>
      <x:c r="F1203" s="88" t="str">
        <x:f>IF(C1203="","",MIN(D1203+E1203,$Q$12))</x:f>
      </x:c>
      <x:c r="G1203" s="88" t="str">
        <x:f>IF(C1203="","",MIN(MAX(0,D1203+E1203-F1203),SUMIFS(SONDERZAHLUNGEN!$E$9:$E$128,SONDERZAHLUNGEN!$B$9:$B$128,C1203,SONDERZAHLUNGEN!$C$9:$C$128,A1203,SONDERZAHLUNGEN!$H$9:$H$128,"OK",SONDERZAHLUNGEN!$F$9:$F$128,"Ja")))</x:f>
      </x:c>
      <x:c r="H1203" s="88" t="str">
        <x:f>IF(C1203="","",MIN(MAX(0,D1203+E1203-F1203-G1203),MAX(0,IF(MONATSBUDGET!$C$67="",0,MONATSBUDGET!$C$67)-SUM(F1200:F1219)-SUM(H1200:H1202))))</x:f>
      </x:c>
      <x:c r="I1203" s="88" t="str">
        <x:f>IF(C1203="","",MAX(0,ROUND(D1203+E1203-F1203-G1203-H1203,2)))</x:f>
      </x:c>
      <x:c r="J1203" s="88" t="str">
        <x:f>IF(C1203="","",F1203+G1203+H1203)</x:f>
      </x:c>
      <x:c r="K1203" s="88" t="str">
        <x:f>IF(C1203="","",MAX(0,SUMIFS(SONDERZAHLUNGEN!$E$9:$E$128,SONDERZAHLUNGEN!$B$9:$B$128,C1203,SONDERZAHLUNGEN!$C$9:$C$128,A1203,SONDERZAHLUNGEN!$H$9:$H$128,"OK",SONDERZAHLUNGEN!$F$9:$F$128,"Ja")-G1203))</x:f>
      </x:c>
    </x:row>
    <x:row r="1204" ht="19" customHeight="1">
      <x:c r="A1204" s="90" t="n">
        <x:f>MONATSBUDGET!$A$67</x:f>
        <x:v>48030</x:v>
      </x:c>
      <x:c r="B1204" t="n">
        <x:f>5</x:f>
        <x:v>5</x:v>
      </x:c>
      <x:c r="C1204" t="str">
        <x:f>IF($N$13="","",$N$13)</x:f>
      </x:c>
      <x:c r="D1204" s="88" t="str">
        <x:f>IF(C1204="","",I1184)</x:f>
      </x:c>
      <x:c r="E1204" s="88" t="str">
        <x:f>IF(C1204="","",ROUND(D1204*$P$13/12,2))</x:f>
      </x:c>
      <x:c r="F1204" s="88" t="str">
        <x:f>IF(C1204="","",MIN(D1204+E1204,$Q$13))</x:f>
      </x:c>
      <x:c r="G1204" s="88" t="str">
        <x:f>IF(C1204="","",MIN(MAX(0,D1204+E1204-F1204),SUMIFS(SONDERZAHLUNGEN!$E$9:$E$128,SONDERZAHLUNGEN!$B$9:$B$128,C1204,SONDERZAHLUNGEN!$C$9:$C$128,A1204,SONDERZAHLUNGEN!$H$9:$H$128,"OK",SONDERZAHLUNGEN!$F$9:$F$128,"Ja")))</x:f>
      </x:c>
      <x:c r="H1204" s="88" t="str">
        <x:f>IF(C1204="","",MIN(MAX(0,D1204+E1204-F1204-G1204),MAX(0,IF(MONATSBUDGET!$C$67="",0,MONATSBUDGET!$C$67)-SUM(F1200:F1219)-SUM(H1200:H1203))))</x:f>
      </x:c>
      <x:c r="I1204" s="88" t="str">
        <x:f>IF(C1204="","",MAX(0,ROUND(D1204+E1204-F1204-G1204-H1204,2)))</x:f>
      </x:c>
      <x:c r="J1204" s="88" t="str">
        <x:f>IF(C1204="","",F1204+G1204+H1204)</x:f>
      </x:c>
      <x:c r="K1204" s="88" t="str">
        <x:f>IF(C1204="","",MAX(0,SUMIFS(SONDERZAHLUNGEN!$E$9:$E$128,SONDERZAHLUNGEN!$B$9:$B$128,C1204,SONDERZAHLUNGEN!$C$9:$C$128,A1204,SONDERZAHLUNGEN!$H$9:$H$128,"OK",SONDERZAHLUNGEN!$F$9:$F$128,"Ja")-G1204))</x:f>
      </x:c>
    </x:row>
    <x:row r="1205" ht="19" customHeight="1">
      <x:c r="A1205" s="90" t="n">
        <x:f>MONATSBUDGET!$A$67</x:f>
        <x:v>48030</x:v>
      </x:c>
      <x:c r="B1205" t="n">
        <x:f>6</x:f>
        <x:v>6</x:v>
      </x:c>
      <x:c r="C1205" t="str">
        <x:f>IF($N$14="","",$N$14)</x:f>
      </x:c>
      <x:c r="D1205" s="88" t="str">
        <x:f>IF(C1205="","",I1185)</x:f>
      </x:c>
      <x:c r="E1205" s="88" t="str">
        <x:f>IF(C1205="","",ROUND(D1205*$P$14/12,2))</x:f>
      </x:c>
      <x:c r="F1205" s="88" t="str">
        <x:f>IF(C1205="","",MIN(D1205+E1205,$Q$14))</x:f>
      </x:c>
      <x:c r="G1205" s="88" t="str">
        <x:f>IF(C1205="","",MIN(MAX(0,D1205+E1205-F1205),SUMIFS(SONDERZAHLUNGEN!$E$9:$E$128,SONDERZAHLUNGEN!$B$9:$B$128,C1205,SONDERZAHLUNGEN!$C$9:$C$128,A1205,SONDERZAHLUNGEN!$H$9:$H$128,"OK",SONDERZAHLUNGEN!$F$9:$F$128,"Ja")))</x:f>
      </x:c>
      <x:c r="H1205" s="88" t="str">
        <x:f>IF(C1205="","",MIN(MAX(0,D1205+E1205-F1205-G1205),MAX(0,IF(MONATSBUDGET!$C$67="",0,MONATSBUDGET!$C$67)-SUM(F1200:F1219)-SUM(H1200:H1204))))</x:f>
      </x:c>
      <x:c r="I1205" s="88" t="str">
        <x:f>IF(C1205="","",MAX(0,ROUND(D1205+E1205-F1205-G1205-H1205,2)))</x:f>
      </x:c>
      <x:c r="J1205" s="88" t="str">
        <x:f>IF(C1205="","",F1205+G1205+H1205)</x:f>
      </x:c>
      <x:c r="K1205" s="88" t="str">
        <x:f>IF(C1205="","",MAX(0,SUMIFS(SONDERZAHLUNGEN!$E$9:$E$128,SONDERZAHLUNGEN!$B$9:$B$128,C1205,SONDERZAHLUNGEN!$C$9:$C$128,A1205,SONDERZAHLUNGEN!$H$9:$H$128,"OK",SONDERZAHLUNGEN!$F$9:$F$128,"Ja")-G1205))</x:f>
      </x:c>
    </x:row>
    <x:row r="1206" ht="19" customHeight="1">
      <x:c r="A1206" s="90" t="n">
        <x:f>MONATSBUDGET!$A$67</x:f>
        <x:v>48030</x:v>
      </x:c>
      <x:c r="B1206" t="n">
        <x:f>7</x:f>
        <x:v>7</x:v>
      </x:c>
      <x:c r="C1206" t="str">
        <x:f>IF($N$15="","",$N$15)</x:f>
      </x:c>
      <x:c r="D1206" s="88" t="str">
        <x:f>IF(C1206="","",I1186)</x:f>
      </x:c>
      <x:c r="E1206" s="88" t="str">
        <x:f>IF(C1206="","",ROUND(D1206*$P$15/12,2))</x:f>
      </x:c>
      <x:c r="F1206" s="88" t="str">
        <x:f>IF(C1206="","",MIN(D1206+E1206,$Q$15))</x:f>
      </x:c>
      <x:c r="G1206" s="88" t="str">
        <x:f>IF(C1206="","",MIN(MAX(0,D1206+E1206-F1206),SUMIFS(SONDERZAHLUNGEN!$E$9:$E$128,SONDERZAHLUNGEN!$B$9:$B$128,C1206,SONDERZAHLUNGEN!$C$9:$C$128,A1206,SONDERZAHLUNGEN!$H$9:$H$128,"OK",SONDERZAHLUNGEN!$F$9:$F$128,"Ja")))</x:f>
      </x:c>
      <x:c r="H1206" s="88" t="str">
        <x:f>IF(C1206="","",MIN(MAX(0,D1206+E1206-F1206-G1206),MAX(0,IF(MONATSBUDGET!$C$67="",0,MONATSBUDGET!$C$67)-SUM(F1200:F1219)-SUM(H1200:H1205))))</x:f>
      </x:c>
      <x:c r="I1206" s="88" t="str">
        <x:f>IF(C1206="","",MAX(0,ROUND(D1206+E1206-F1206-G1206-H1206,2)))</x:f>
      </x:c>
      <x:c r="J1206" s="88" t="str">
        <x:f>IF(C1206="","",F1206+G1206+H1206)</x:f>
      </x:c>
      <x:c r="K1206" s="88" t="str">
        <x:f>IF(C1206="","",MAX(0,SUMIFS(SONDERZAHLUNGEN!$E$9:$E$128,SONDERZAHLUNGEN!$B$9:$B$128,C1206,SONDERZAHLUNGEN!$C$9:$C$128,A1206,SONDERZAHLUNGEN!$H$9:$H$128,"OK",SONDERZAHLUNGEN!$F$9:$F$128,"Ja")-G1206))</x:f>
      </x:c>
    </x:row>
    <x:row r="1207" ht="19" customHeight="1">
      <x:c r="A1207" s="90" t="n">
        <x:f>MONATSBUDGET!$A$67</x:f>
        <x:v>48030</x:v>
      </x:c>
      <x:c r="B1207" t="n">
        <x:f>8</x:f>
        <x:v>8</x:v>
      </x:c>
      <x:c r="C1207" t="str">
        <x:f>IF($N$16="","",$N$16)</x:f>
      </x:c>
      <x:c r="D1207" s="88" t="str">
        <x:f>IF(C1207="","",I1187)</x:f>
      </x:c>
      <x:c r="E1207" s="88" t="str">
        <x:f>IF(C1207="","",ROUND(D1207*$P$16/12,2))</x:f>
      </x:c>
      <x:c r="F1207" s="88" t="str">
        <x:f>IF(C1207="","",MIN(D1207+E1207,$Q$16))</x:f>
      </x:c>
      <x:c r="G1207" s="88" t="str">
        <x:f>IF(C1207="","",MIN(MAX(0,D1207+E1207-F1207),SUMIFS(SONDERZAHLUNGEN!$E$9:$E$128,SONDERZAHLUNGEN!$B$9:$B$128,C1207,SONDERZAHLUNGEN!$C$9:$C$128,A1207,SONDERZAHLUNGEN!$H$9:$H$128,"OK",SONDERZAHLUNGEN!$F$9:$F$128,"Ja")))</x:f>
      </x:c>
      <x:c r="H1207" s="88" t="str">
        <x:f>IF(C1207="","",MIN(MAX(0,D1207+E1207-F1207-G1207),MAX(0,IF(MONATSBUDGET!$C$67="",0,MONATSBUDGET!$C$67)-SUM(F1200:F1219)-SUM(H1200:H1206))))</x:f>
      </x:c>
      <x:c r="I1207" s="88" t="str">
        <x:f>IF(C1207="","",MAX(0,ROUND(D1207+E1207-F1207-G1207-H1207,2)))</x:f>
      </x:c>
      <x:c r="J1207" s="88" t="str">
        <x:f>IF(C1207="","",F1207+G1207+H1207)</x:f>
      </x:c>
      <x:c r="K1207" s="88" t="str">
        <x:f>IF(C1207="","",MAX(0,SUMIFS(SONDERZAHLUNGEN!$E$9:$E$128,SONDERZAHLUNGEN!$B$9:$B$128,C1207,SONDERZAHLUNGEN!$C$9:$C$128,A1207,SONDERZAHLUNGEN!$H$9:$H$128,"OK",SONDERZAHLUNGEN!$F$9:$F$128,"Ja")-G1207))</x:f>
      </x:c>
    </x:row>
    <x:row r="1208" ht="19" customHeight="1">
      <x:c r="A1208" s="90" t="n">
        <x:f>MONATSBUDGET!$A$67</x:f>
        <x:v>48030</x:v>
      </x:c>
      <x:c r="B1208" t="n">
        <x:f>9</x:f>
        <x:v>9</x:v>
      </x:c>
      <x:c r="C1208" t="str">
        <x:f>IF($N$17="","",$N$17)</x:f>
      </x:c>
      <x:c r="D1208" s="88" t="str">
        <x:f>IF(C1208="","",I1188)</x:f>
      </x:c>
      <x:c r="E1208" s="88" t="str">
        <x:f>IF(C1208="","",ROUND(D1208*$P$17/12,2))</x:f>
      </x:c>
      <x:c r="F1208" s="88" t="str">
        <x:f>IF(C1208="","",MIN(D1208+E1208,$Q$17))</x:f>
      </x:c>
      <x:c r="G1208" s="88" t="str">
        <x:f>IF(C1208="","",MIN(MAX(0,D1208+E1208-F1208),SUMIFS(SONDERZAHLUNGEN!$E$9:$E$128,SONDERZAHLUNGEN!$B$9:$B$128,C1208,SONDERZAHLUNGEN!$C$9:$C$128,A1208,SONDERZAHLUNGEN!$H$9:$H$128,"OK",SONDERZAHLUNGEN!$F$9:$F$128,"Ja")))</x:f>
      </x:c>
      <x:c r="H1208" s="88" t="str">
        <x:f>IF(C1208="","",MIN(MAX(0,D1208+E1208-F1208-G1208),MAX(0,IF(MONATSBUDGET!$C$67="",0,MONATSBUDGET!$C$67)-SUM(F1200:F1219)-SUM(H1200:H1207))))</x:f>
      </x:c>
      <x:c r="I1208" s="88" t="str">
        <x:f>IF(C1208="","",MAX(0,ROUND(D1208+E1208-F1208-G1208-H1208,2)))</x:f>
      </x:c>
      <x:c r="J1208" s="88" t="str">
        <x:f>IF(C1208="","",F1208+G1208+H1208)</x:f>
      </x:c>
      <x:c r="K1208" s="88" t="str">
        <x:f>IF(C1208="","",MAX(0,SUMIFS(SONDERZAHLUNGEN!$E$9:$E$128,SONDERZAHLUNGEN!$B$9:$B$128,C1208,SONDERZAHLUNGEN!$C$9:$C$128,A1208,SONDERZAHLUNGEN!$H$9:$H$128,"OK",SONDERZAHLUNGEN!$F$9:$F$128,"Ja")-G1208))</x:f>
      </x:c>
    </x:row>
    <x:row r="1209" ht="19" customHeight="1">
      <x:c r="A1209" s="90" t="n">
        <x:f>MONATSBUDGET!$A$67</x:f>
        <x:v>48030</x:v>
      </x:c>
      <x:c r="B1209" t="n">
        <x:f>10</x:f>
        <x:v>10</x:v>
      </x:c>
      <x:c r="C1209" t="str">
        <x:f>IF($N$18="","",$N$18)</x:f>
      </x:c>
      <x:c r="D1209" s="88" t="str">
        <x:f>IF(C1209="","",I1189)</x:f>
      </x:c>
      <x:c r="E1209" s="88" t="str">
        <x:f>IF(C1209="","",ROUND(D1209*$P$18/12,2))</x:f>
      </x:c>
      <x:c r="F1209" s="88" t="str">
        <x:f>IF(C1209="","",MIN(D1209+E1209,$Q$18))</x:f>
      </x:c>
      <x:c r="G1209" s="88" t="str">
        <x:f>IF(C1209="","",MIN(MAX(0,D1209+E1209-F1209),SUMIFS(SONDERZAHLUNGEN!$E$9:$E$128,SONDERZAHLUNGEN!$B$9:$B$128,C1209,SONDERZAHLUNGEN!$C$9:$C$128,A1209,SONDERZAHLUNGEN!$H$9:$H$128,"OK",SONDERZAHLUNGEN!$F$9:$F$128,"Ja")))</x:f>
      </x:c>
      <x:c r="H1209" s="88" t="str">
        <x:f>IF(C1209="","",MIN(MAX(0,D1209+E1209-F1209-G1209),MAX(0,IF(MONATSBUDGET!$C$67="",0,MONATSBUDGET!$C$67)-SUM(F1200:F1219)-SUM(H1200:H1208))))</x:f>
      </x:c>
      <x:c r="I1209" s="88" t="str">
        <x:f>IF(C1209="","",MAX(0,ROUND(D1209+E1209-F1209-G1209-H1209,2)))</x:f>
      </x:c>
      <x:c r="J1209" s="88" t="str">
        <x:f>IF(C1209="","",F1209+G1209+H1209)</x:f>
      </x:c>
      <x:c r="K1209" s="88" t="str">
        <x:f>IF(C1209="","",MAX(0,SUMIFS(SONDERZAHLUNGEN!$E$9:$E$128,SONDERZAHLUNGEN!$B$9:$B$128,C1209,SONDERZAHLUNGEN!$C$9:$C$128,A1209,SONDERZAHLUNGEN!$H$9:$H$128,"OK",SONDERZAHLUNGEN!$F$9:$F$128,"Ja")-G1209))</x:f>
      </x:c>
    </x:row>
    <x:row r="1210" ht="19" customHeight="1">
      <x:c r="A1210" s="90" t="n">
        <x:f>MONATSBUDGET!$A$67</x:f>
        <x:v>48030</x:v>
      </x:c>
      <x:c r="B1210" t="n">
        <x:f>11</x:f>
        <x:v>11</x:v>
      </x:c>
      <x:c r="C1210" t="str">
        <x:f>IF($N$19="","",$N$19)</x:f>
      </x:c>
      <x:c r="D1210" s="88" t="str">
        <x:f>IF(C1210="","",I1190)</x:f>
      </x:c>
      <x:c r="E1210" s="88" t="str">
        <x:f>IF(C1210="","",ROUND(D1210*$P$19/12,2))</x:f>
      </x:c>
      <x:c r="F1210" s="88" t="str">
        <x:f>IF(C1210="","",MIN(D1210+E1210,$Q$19))</x:f>
      </x:c>
      <x:c r="G1210" s="88" t="str">
        <x:f>IF(C1210="","",MIN(MAX(0,D1210+E1210-F1210),SUMIFS(SONDERZAHLUNGEN!$E$9:$E$128,SONDERZAHLUNGEN!$B$9:$B$128,C1210,SONDERZAHLUNGEN!$C$9:$C$128,A1210,SONDERZAHLUNGEN!$H$9:$H$128,"OK",SONDERZAHLUNGEN!$F$9:$F$128,"Ja")))</x:f>
      </x:c>
      <x:c r="H1210" s="88" t="str">
        <x:f>IF(C1210="","",MIN(MAX(0,D1210+E1210-F1210-G1210),MAX(0,IF(MONATSBUDGET!$C$67="",0,MONATSBUDGET!$C$67)-SUM(F1200:F1219)-SUM(H1200:H1209))))</x:f>
      </x:c>
      <x:c r="I1210" s="88" t="str">
        <x:f>IF(C1210="","",MAX(0,ROUND(D1210+E1210-F1210-G1210-H1210,2)))</x:f>
      </x:c>
      <x:c r="J1210" s="88" t="str">
        <x:f>IF(C1210="","",F1210+G1210+H1210)</x:f>
      </x:c>
      <x:c r="K1210" s="88" t="str">
        <x:f>IF(C1210="","",MAX(0,SUMIFS(SONDERZAHLUNGEN!$E$9:$E$128,SONDERZAHLUNGEN!$B$9:$B$128,C1210,SONDERZAHLUNGEN!$C$9:$C$128,A1210,SONDERZAHLUNGEN!$H$9:$H$128,"OK",SONDERZAHLUNGEN!$F$9:$F$128,"Ja")-G1210))</x:f>
      </x:c>
    </x:row>
    <x:row r="1211" ht="19" customHeight="1">
      <x:c r="A1211" s="90" t="n">
        <x:f>MONATSBUDGET!$A$67</x:f>
        <x:v>48030</x:v>
      </x:c>
      <x:c r="B1211" t="n">
        <x:f>12</x:f>
        <x:v>12</x:v>
      </x:c>
      <x:c r="C1211" t="str">
        <x:f>IF($N$20="","",$N$20)</x:f>
      </x:c>
      <x:c r="D1211" s="88" t="str">
        <x:f>IF(C1211="","",I1191)</x:f>
      </x:c>
      <x:c r="E1211" s="88" t="str">
        <x:f>IF(C1211="","",ROUND(D1211*$P$20/12,2))</x:f>
      </x:c>
      <x:c r="F1211" s="88" t="str">
        <x:f>IF(C1211="","",MIN(D1211+E1211,$Q$20))</x:f>
      </x:c>
      <x:c r="G1211" s="88" t="str">
        <x:f>IF(C1211="","",MIN(MAX(0,D1211+E1211-F1211),SUMIFS(SONDERZAHLUNGEN!$E$9:$E$128,SONDERZAHLUNGEN!$B$9:$B$128,C1211,SONDERZAHLUNGEN!$C$9:$C$128,A1211,SONDERZAHLUNGEN!$H$9:$H$128,"OK",SONDERZAHLUNGEN!$F$9:$F$128,"Ja")))</x:f>
      </x:c>
      <x:c r="H1211" s="88" t="str">
        <x:f>IF(C1211="","",MIN(MAX(0,D1211+E1211-F1211-G1211),MAX(0,IF(MONATSBUDGET!$C$67="",0,MONATSBUDGET!$C$67)-SUM(F1200:F1219)-SUM(H1200:H1210))))</x:f>
      </x:c>
      <x:c r="I1211" s="88" t="str">
        <x:f>IF(C1211="","",MAX(0,ROUND(D1211+E1211-F1211-G1211-H1211,2)))</x:f>
      </x:c>
      <x:c r="J1211" s="88" t="str">
        <x:f>IF(C1211="","",F1211+G1211+H1211)</x:f>
      </x:c>
      <x:c r="K1211" s="88" t="str">
        <x:f>IF(C1211="","",MAX(0,SUMIFS(SONDERZAHLUNGEN!$E$9:$E$128,SONDERZAHLUNGEN!$B$9:$B$128,C1211,SONDERZAHLUNGEN!$C$9:$C$128,A1211,SONDERZAHLUNGEN!$H$9:$H$128,"OK",SONDERZAHLUNGEN!$F$9:$F$128,"Ja")-G1211))</x:f>
      </x:c>
    </x:row>
    <x:row r="1212" ht="19" customHeight="1">
      <x:c r="A1212" s="90" t="n">
        <x:f>MONATSBUDGET!$A$67</x:f>
        <x:v>48030</x:v>
      </x:c>
      <x:c r="B1212" t="n">
        <x:f>13</x:f>
        <x:v>13</x:v>
      </x:c>
      <x:c r="C1212" t="str">
        <x:f>IF($N$21="","",$N$21)</x:f>
      </x:c>
      <x:c r="D1212" s="88" t="str">
        <x:f>IF(C1212="","",I1192)</x:f>
      </x:c>
      <x:c r="E1212" s="88" t="str">
        <x:f>IF(C1212="","",ROUND(D1212*$P$21/12,2))</x:f>
      </x:c>
      <x:c r="F1212" s="88" t="str">
        <x:f>IF(C1212="","",MIN(D1212+E1212,$Q$21))</x:f>
      </x:c>
      <x:c r="G1212" s="88" t="str">
        <x:f>IF(C1212="","",MIN(MAX(0,D1212+E1212-F1212),SUMIFS(SONDERZAHLUNGEN!$E$9:$E$128,SONDERZAHLUNGEN!$B$9:$B$128,C1212,SONDERZAHLUNGEN!$C$9:$C$128,A1212,SONDERZAHLUNGEN!$H$9:$H$128,"OK",SONDERZAHLUNGEN!$F$9:$F$128,"Ja")))</x:f>
      </x:c>
      <x:c r="H1212" s="88" t="str">
        <x:f>IF(C1212="","",MIN(MAX(0,D1212+E1212-F1212-G1212),MAX(0,IF(MONATSBUDGET!$C$67="",0,MONATSBUDGET!$C$67)-SUM(F1200:F1219)-SUM(H1200:H1211))))</x:f>
      </x:c>
      <x:c r="I1212" s="88" t="str">
        <x:f>IF(C1212="","",MAX(0,ROUND(D1212+E1212-F1212-G1212-H1212,2)))</x:f>
      </x:c>
      <x:c r="J1212" s="88" t="str">
        <x:f>IF(C1212="","",F1212+G1212+H1212)</x:f>
      </x:c>
      <x:c r="K1212" s="88" t="str">
        <x:f>IF(C1212="","",MAX(0,SUMIFS(SONDERZAHLUNGEN!$E$9:$E$128,SONDERZAHLUNGEN!$B$9:$B$128,C1212,SONDERZAHLUNGEN!$C$9:$C$128,A1212,SONDERZAHLUNGEN!$H$9:$H$128,"OK",SONDERZAHLUNGEN!$F$9:$F$128,"Ja")-G1212))</x:f>
      </x:c>
    </x:row>
    <x:row r="1213" ht="19" customHeight="1">
      <x:c r="A1213" s="90" t="n">
        <x:f>MONATSBUDGET!$A$67</x:f>
        <x:v>48030</x:v>
      </x:c>
      <x:c r="B1213" t="n">
        <x:f>14</x:f>
        <x:v>14</x:v>
      </x:c>
      <x:c r="C1213" t="str">
        <x:f>IF($N$22="","",$N$22)</x:f>
      </x:c>
      <x:c r="D1213" s="88" t="str">
        <x:f>IF(C1213="","",I1193)</x:f>
      </x:c>
      <x:c r="E1213" s="88" t="str">
        <x:f>IF(C1213="","",ROUND(D1213*$P$22/12,2))</x:f>
      </x:c>
      <x:c r="F1213" s="88" t="str">
        <x:f>IF(C1213="","",MIN(D1213+E1213,$Q$22))</x:f>
      </x:c>
      <x:c r="G1213" s="88" t="str">
        <x:f>IF(C1213="","",MIN(MAX(0,D1213+E1213-F1213),SUMIFS(SONDERZAHLUNGEN!$E$9:$E$128,SONDERZAHLUNGEN!$B$9:$B$128,C1213,SONDERZAHLUNGEN!$C$9:$C$128,A1213,SONDERZAHLUNGEN!$H$9:$H$128,"OK",SONDERZAHLUNGEN!$F$9:$F$128,"Ja")))</x:f>
      </x:c>
      <x:c r="H1213" s="88" t="str">
        <x:f>IF(C1213="","",MIN(MAX(0,D1213+E1213-F1213-G1213),MAX(0,IF(MONATSBUDGET!$C$67="",0,MONATSBUDGET!$C$67)-SUM(F1200:F1219)-SUM(H1200:H1212))))</x:f>
      </x:c>
      <x:c r="I1213" s="88" t="str">
        <x:f>IF(C1213="","",MAX(0,ROUND(D1213+E1213-F1213-G1213-H1213,2)))</x:f>
      </x:c>
      <x:c r="J1213" s="88" t="str">
        <x:f>IF(C1213="","",F1213+G1213+H1213)</x:f>
      </x:c>
      <x:c r="K1213" s="88" t="str">
        <x:f>IF(C1213="","",MAX(0,SUMIFS(SONDERZAHLUNGEN!$E$9:$E$128,SONDERZAHLUNGEN!$B$9:$B$128,C1213,SONDERZAHLUNGEN!$C$9:$C$128,A1213,SONDERZAHLUNGEN!$H$9:$H$128,"OK",SONDERZAHLUNGEN!$F$9:$F$128,"Ja")-G1213))</x:f>
      </x:c>
    </x:row>
    <x:row r="1214" ht="19" customHeight="1">
      <x:c r="A1214" s="90" t="n">
        <x:f>MONATSBUDGET!$A$67</x:f>
        <x:v>48030</x:v>
      </x:c>
      <x:c r="B1214" t="n">
        <x:f>15</x:f>
        <x:v>15</x:v>
      </x:c>
      <x:c r="C1214" t="str">
        <x:f>IF($N$23="","",$N$23)</x:f>
      </x:c>
      <x:c r="D1214" s="88" t="str">
        <x:f>IF(C1214="","",I1194)</x:f>
      </x:c>
      <x:c r="E1214" s="88" t="str">
        <x:f>IF(C1214="","",ROUND(D1214*$P$23/12,2))</x:f>
      </x:c>
      <x:c r="F1214" s="88" t="str">
        <x:f>IF(C1214="","",MIN(D1214+E1214,$Q$23))</x:f>
      </x:c>
      <x:c r="G1214" s="88" t="str">
        <x:f>IF(C1214="","",MIN(MAX(0,D1214+E1214-F1214),SUMIFS(SONDERZAHLUNGEN!$E$9:$E$128,SONDERZAHLUNGEN!$B$9:$B$128,C1214,SONDERZAHLUNGEN!$C$9:$C$128,A1214,SONDERZAHLUNGEN!$H$9:$H$128,"OK",SONDERZAHLUNGEN!$F$9:$F$128,"Ja")))</x:f>
      </x:c>
      <x:c r="H1214" s="88" t="str">
        <x:f>IF(C1214="","",MIN(MAX(0,D1214+E1214-F1214-G1214),MAX(0,IF(MONATSBUDGET!$C$67="",0,MONATSBUDGET!$C$67)-SUM(F1200:F1219)-SUM(H1200:H1213))))</x:f>
      </x:c>
      <x:c r="I1214" s="88" t="str">
        <x:f>IF(C1214="","",MAX(0,ROUND(D1214+E1214-F1214-G1214-H1214,2)))</x:f>
      </x:c>
      <x:c r="J1214" s="88" t="str">
        <x:f>IF(C1214="","",F1214+G1214+H1214)</x:f>
      </x:c>
      <x:c r="K1214" s="88" t="str">
        <x:f>IF(C1214="","",MAX(0,SUMIFS(SONDERZAHLUNGEN!$E$9:$E$128,SONDERZAHLUNGEN!$B$9:$B$128,C1214,SONDERZAHLUNGEN!$C$9:$C$128,A1214,SONDERZAHLUNGEN!$H$9:$H$128,"OK",SONDERZAHLUNGEN!$F$9:$F$128,"Ja")-G1214))</x:f>
      </x:c>
    </x:row>
    <x:row r="1215" ht="19" customHeight="1">
      <x:c r="A1215" s="90" t="n">
        <x:f>MONATSBUDGET!$A$67</x:f>
        <x:v>48030</x:v>
      </x:c>
      <x:c r="B1215" t="n">
        <x:f>16</x:f>
        <x:v>16</x:v>
      </x:c>
      <x:c r="C1215" t="str">
        <x:f>IF($N$24="","",$N$24)</x:f>
      </x:c>
      <x:c r="D1215" s="88" t="str">
        <x:f>IF(C1215="","",I1195)</x:f>
      </x:c>
      <x:c r="E1215" s="88" t="str">
        <x:f>IF(C1215="","",ROUND(D1215*$P$24/12,2))</x:f>
      </x:c>
      <x:c r="F1215" s="88" t="str">
        <x:f>IF(C1215="","",MIN(D1215+E1215,$Q$24))</x:f>
      </x:c>
      <x:c r="G1215" s="88" t="str">
        <x:f>IF(C1215="","",MIN(MAX(0,D1215+E1215-F1215),SUMIFS(SONDERZAHLUNGEN!$E$9:$E$128,SONDERZAHLUNGEN!$B$9:$B$128,C1215,SONDERZAHLUNGEN!$C$9:$C$128,A1215,SONDERZAHLUNGEN!$H$9:$H$128,"OK",SONDERZAHLUNGEN!$F$9:$F$128,"Ja")))</x:f>
      </x:c>
      <x:c r="H1215" s="88" t="str">
        <x:f>IF(C1215="","",MIN(MAX(0,D1215+E1215-F1215-G1215),MAX(0,IF(MONATSBUDGET!$C$67="",0,MONATSBUDGET!$C$67)-SUM(F1200:F1219)-SUM(H1200:H1214))))</x:f>
      </x:c>
      <x:c r="I1215" s="88" t="str">
        <x:f>IF(C1215="","",MAX(0,ROUND(D1215+E1215-F1215-G1215-H1215,2)))</x:f>
      </x:c>
      <x:c r="J1215" s="88" t="str">
        <x:f>IF(C1215="","",F1215+G1215+H1215)</x:f>
      </x:c>
      <x:c r="K1215" s="88" t="str">
        <x:f>IF(C1215="","",MAX(0,SUMIFS(SONDERZAHLUNGEN!$E$9:$E$128,SONDERZAHLUNGEN!$B$9:$B$128,C1215,SONDERZAHLUNGEN!$C$9:$C$128,A1215,SONDERZAHLUNGEN!$H$9:$H$128,"OK",SONDERZAHLUNGEN!$F$9:$F$128,"Ja")-G1215))</x:f>
      </x:c>
    </x:row>
    <x:row r="1216" ht="19" customHeight="1">
      <x:c r="A1216" s="90" t="n">
        <x:f>MONATSBUDGET!$A$67</x:f>
        <x:v>48030</x:v>
      </x:c>
      <x:c r="B1216" t="n">
        <x:f>17</x:f>
        <x:v>17</x:v>
      </x:c>
      <x:c r="C1216" t="str">
        <x:f>IF($N$25="","",$N$25)</x:f>
      </x:c>
      <x:c r="D1216" s="88" t="str">
        <x:f>IF(C1216="","",I1196)</x:f>
      </x:c>
      <x:c r="E1216" s="88" t="str">
        <x:f>IF(C1216="","",ROUND(D1216*$P$25/12,2))</x:f>
      </x:c>
      <x:c r="F1216" s="88" t="str">
        <x:f>IF(C1216="","",MIN(D1216+E1216,$Q$25))</x:f>
      </x:c>
      <x:c r="G1216" s="88" t="str">
        <x:f>IF(C1216="","",MIN(MAX(0,D1216+E1216-F1216),SUMIFS(SONDERZAHLUNGEN!$E$9:$E$128,SONDERZAHLUNGEN!$B$9:$B$128,C1216,SONDERZAHLUNGEN!$C$9:$C$128,A1216,SONDERZAHLUNGEN!$H$9:$H$128,"OK",SONDERZAHLUNGEN!$F$9:$F$128,"Ja")))</x:f>
      </x:c>
      <x:c r="H1216" s="88" t="str">
        <x:f>IF(C1216="","",MIN(MAX(0,D1216+E1216-F1216-G1216),MAX(0,IF(MONATSBUDGET!$C$67="",0,MONATSBUDGET!$C$67)-SUM(F1200:F1219)-SUM(H1200:H1215))))</x:f>
      </x:c>
      <x:c r="I1216" s="88" t="str">
        <x:f>IF(C1216="","",MAX(0,ROUND(D1216+E1216-F1216-G1216-H1216,2)))</x:f>
      </x:c>
      <x:c r="J1216" s="88" t="str">
        <x:f>IF(C1216="","",F1216+G1216+H1216)</x:f>
      </x:c>
      <x:c r="K1216" s="88" t="str">
        <x:f>IF(C1216="","",MAX(0,SUMIFS(SONDERZAHLUNGEN!$E$9:$E$128,SONDERZAHLUNGEN!$B$9:$B$128,C1216,SONDERZAHLUNGEN!$C$9:$C$128,A1216,SONDERZAHLUNGEN!$H$9:$H$128,"OK",SONDERZAHLUNGEN!$F$9:$F$128,"Ja")-G1216))</x:f>
      </x:c>
    </x:row>
    <x:row r="1217" ht="19" customHeight="1">
      <x:c r="A1217" s="90" t="n">
        <x:f>MONATSBUDGET!$A$67</x:f>
        <x:v>48030</x:v>
      </x:c>
      <x:c r="B1217" t="n">
        <x:f>18</x:f>
        <x:v>18</x:v>
      </x:c>
      <x:c r="C1217" t="str">
        <x:f>IF($N$26="","",$N$26)</x:f>
      </x:c>
      <x:c r="D1217" s="88" t="str">
        <x:f>IF(C1217="","",I1197)</x:f>
      </x:c>
      <x:c r="E1217" s="88" t="str">
        <x:f>IF(C1217="","",ROUND(D1217*$P$26/12,2))</x:f>
      </x:c>
      <x:c r="F1217" s="88" t="str">
        <x:f>IF(C1217="","",MIN(D1217+E1217,$Q$26))</x:f>
      </x:c>
      <x:c r="G1217" s="88" t="str">
        <x:f>IF(C1217="","",MIN(MAX(0,D1217+E1217-F1217),SUMIFS(SONDERZAHLUNGEN!$E$9:$E$128,SONDERZAHLUNGEN!$B$9:$B$128,C1217,SONDERZAHLUNGEN!$C$9:$C$128,A1217,SONDERZAHLUNGEN!$H$9:$H$128,"OK",SONDERZAHLUNGEN!$F$9:$F$128,"Ja")))</x:f>
      </x:c>
      <x:c r="H1217" s="88" t="str">
        <x:f>IF(C1217="","",MIN(MAX(0,D1217+E1217-F1217-G1217),MAX(0,IF(MONATSBUDGET!$C$67="",0,MONATSBUDGET!$C$67)-SUM(F1200:F1219)-SUM(H1200:H1216))))</x:f>
      </x:c>
      <x:c r="I1217" s="88" t="str">
        <x:f>IF(C1217="","",MAX(0,ROUND(D1217+E1217-F1217-G1217-H1217,2)))</x:f>
      </x:c>
      <x:c r="J1217" s="88" t="str">
        <x:f>IF(C1217="","",F1217+G1217+H1217)</x:f>
      </x:c>
      <x:c r="K1217" s="88" t="str">
        <x:f>IF(C1217="","",MAX(0,SUMIFS(SONDERZAHLUNGEN!$E$9:$E$128,SONDERZAHLUNGEN!$B$9:$B$128,C1217,SONDERZAHLUNGEN!$C$9:$C$128,A1217,SONDERZAHLUNGEN!$H$9:$H$128,"OK",SONDERZAHLUNGEN!$F$9:$F$128,"Ja")-G1217))</x:f>
      </x:c>
    </x:row>
    <x:row r="1218" ht="19" customHeight="1">
      <x:c r="A1218" s="90" t="n">
        <x:f>MONATSBUDGET!$A$67</x:f>
        <x:v>48030</x:v>
      </x:c>
      <x:c r="B1218" t="n">
        <x:f>19</x:f>
        <x:v>19</x:v>
      </x:c>
      <x:c r="C1218" t="str">
        <x:f>IF($N$27="","",$N$27)</x:f>
      </x:c>
      <x:c r="D1218" s="88" t="str">
        <x:f>IF(C1218="","",I1198)</x:f>
      </x:c>
      <x:c r="E1218" s="88" t="str">
        <x:f>IF(C1218="","",ROUND(D1218*$P$27/12,2))</x:f>
      </x:c>
      <x:c r="F1218" s="88" t="str">
        <x:f>IF(C1218="","",MIN(D1218+E1218,$Q$27))</x:f>
      </x:c>
      <x:c r="G1218" s="88" t="str">
        <x:f>IF(C1218="","",MIN(MAX(0,D1218+E1218-F1218),SUMIFS(SONDERZAHLUNGEN!$E$9:$E$128,SONDERZAHLUNGEN!$B$9:$B$128,C1218,SONDERZAHLUNGEN!$C$9:$C$128,A1218,SONDERZAHLUNGEN!$H$9:$H$128,"OK",SONDERZAHLUNGEN!$F$9:$F$128,"Ja")))</x:f>
      </x:c>
      <x:c r="H1218" s="88" t="str">
        <x:f>IF(C1218="","",MIN(MAX(0,D1218+E1218-F1218-G1218),MAX(0,IF(MONATSBUDGET!$C$67="",0,MONATSBUDGET!$C$67)-SUM(F1200:F1219)-SUM(H1200:H1217))))</x:f>
      </x:c>
      <x:c r="I1218" s="88" t="str">
        <x:f>IF(C1218="","",MAX(0,ROUND(D1218+E1218-F1218-G1218-H1218,2)))</x:f>
      </x:c>
      <x:c r="J1218" s="88" t="str">
        <x:f>IF(C1218="","",F1218+G1218+H1218)</x:f>
      </x:c>
      <x:c r="K1218" s="88" t="str">
        <x:f>IF(C1218="","",MAX(0,SUMIFS(SONDERZAHLUNGEN!$E$9:$E$128,SONDERZAHLUNGEN!$B$9:$B$128,C1218,SONDERZAHLUNGEN!$C$9:$C$128,A1218,SONDERZAHLUNGEN!$H$9:$H$128,"OK",SONDERZAHLUNGEN!$F$9:$F$128,"Ja")-G1218))</x:f>
      </x:c>
    </x:row>
    <x:row r="1219" ht="19" customHeight="1">
      <x:c r="A1219" s="90" t="n">
        <x:f>MONATSBUDGET!$A$67</x:f>
        <x:v>48030</x:v>
      </x:c>
      <x:c r="B1219" t="n">
        <x:f>20</x:f>
        <x:v>20</x:v>
      </x:c>
      <x:c r="C1219" t="str">
        <x:f>IF($N$28="","",$N$28)</x:f>
      </x:c>
      <x:c r="D1219" s="88" t="str">
        <x:f>IF(C1219="","",I1199)</x:f>
      </x:c>
      <x:c r="E1219" s="88" t="str">
        <x:f>IF(C1219="","",ROUND(D1219*$P$28/12,2))</x:f>
      </x:c>
      <x:c r="F1219" s="88" t="str">
        <x:f>IF(C1219="","",MIN(D1219+E1219,$Q$28))</x:f>
      </x:c>
      <x:c r="G1219" s="88" t="str">
        <x:f>IF(C1219="","",MIN(MAX(0,D1219+E1219-F1219),SUMIFS(SONDERZAHLUNGEN!$E$9:$E$128,SONDERZAHLUNGEN!$B$9:$B$128,C1219,SONDERZAHLUNGEN!$C$9:$C$128,A1219,SONDERZAHLUNGEN!$H$9:$H$128,"OK",SONDERZAHLUNGEN!$F$9:$F$128,"Ja")))</x:f>
      </x:c>
      <x:c r="H1219" s="88" t="str">
        <x:f>IF(C1219="","",MIN(MAX(0,D1219+E1219-F1219-G1219),MAX(0,IF(MONATSBUDGET!$C$67="",0,MONATSBUDGET!$C$67)-SUM(F1200:F1219)-SUM(H1200:H1218))))</x:f>
      </x:c>
      <x:c r="I1219" s="88" t="str">
        <x:f>IF(C1219="","",MAX(0,ROUND(D1219+E1219-F1219-G1219-H1219,2)))</x:f>
      </x:c>
      <x:c r="J1219" s="88" t="str">
        <x:f>IF(C1219="","",F1219+G1219+H1219)</x:f>
      </x:c>
      <x:c r="K1219" s="88" t="str">
        <x:f>IF(C1219="","",MAX(0,SUMIFS(SONDERZAHLUNGEN!$E$9:$E$128,SONDERZAHLUNGEN!$B$9:$B$128,C1219,SONDERZAHLUNGEN!$C$9:$C$128,A1219,SONDERZAHLUNGEN!$H$9:$H$128,"OK",SONDERZAHLUNGEN!$F$9:$F$128,"Ja")-G1219))</x:f>
      </x:c>
    </x:row>
    <x:row r="1220" ht="19" customHeight="1">
      <x:c r="A1220" s="90" t="n">
        <x:f>MONATSBUDGET!$A$68</x:f>
        <x:v>48061</x:v>
      </x:c>
      <x:c r="B1220" t="n">
        <x:f>1</x:f>
        <x:v>1</x:v>
      </x:c>
      <x:c r="C1220" t="str">
        <x:f>IF($N$9="","",$N$9)</x:f>
      </x:c>
      <x:c r="D1220" s="88" t="str">
        <x:f>IF(C1220="","",I1200)</x:f>
      </x:c>
      <x:c r="E1220" s="88" t="str">
        <x:f>IF(C1220="","",ROUND(D1220*$P$9/12,2))</x:f>
      </x:c>
      <x:c r="F1220" s="88" t="str">
        <x:f>IF(C1220="","",MIN(D1220+E1220,$Q$9))</x:f>
      </x:c>
      <x:c r="G1220" s="88" t="str">
        <x:f>IF(C1220="","",MIN(MAX(0,D1220+E1220-F1220),SUMIFS(SONDERZAHLUNGEN!$E$9:$E$128,SONDERZAHLUNGEN!$B$9:$B$128,C1220,SONDERZAHLUNGEN!$C$9:$C$128,A1220,SONDERZAHLUNGEN!$H$9:$H$128,"OK",SONDERZAHLUNGEN!$F$9:$F$128,"Ja")))</x:f>
      </x:c>
      <x:c r="H1220" s="88" t="str">
        <x:f>IF(C1220="","",MIN(MAX(0,D1220+E1220-F1220-G1220),MAX(0,IF(MONATSBUDGET!$C$68="",0,MONATSBUDGET!$C$68)-SUM(F1220:F1239)-0)))</x:f>
      </x:c>
      <x:c r="I1220" s="88" t="str">
        <x:f>IF(C1220="","",MAX(0,ROUND(D1220+E1220-F1220-G1220-H1220,2)))</x:f>
      </x:c>
      <x:c r="J1220" s="88" t="str">
        <x:f>IF(C1220="","",F1220+G1220+H1220)</x:f>
      </x:c>
      <x:c r="K1220" s="88" t="str">
        <x:f>IF(C1220="","",MAX(0,SUMIFS(SONDERZAHLUNGEN!$E$9:$E$128,SONDERZAHLUNGEN!$B$9:$B$128,C1220,SONDERZAHLUNGEN!$C$9:$C$128,A1220,SONDERZAHLUNGEN!$H$9:$H$128,"OK",SONDERZAHLUNGEN!$F$9:$F$128,"Ja")-G1220))</x:f>
      </x:c>
    </x:row>
    <x:row r="1221" ht="19" customHeight="1">
      <x:c r="A1221" s="90" t="n">
        <x:f>MONATSBUDGET!$A$68</x:f>
        <x:v>48061</x:v>
      </x:c>
      <x:c r="B1221" t="n">
        <x:f>2</x:f>
        <x:v>2</x:v>
      </x:c>
      <x:c r="C1221" t="str">
        <x:f>IF($N$10="","",$N$10)</x:f>
      </x:c>
      <x:c r="D1221" s="88" t="str">
        <x:f>IF(C1221="","",I1201)</x:f>
      </x:c>
      <x:c r="E1221" s="88" t="str">
        <x:f>IF(C1221="","",ROUND(D1221*$P$10/12,2))</x:f>
      </x:c>
      <x:c r="F1221" s="88" t="str">
        <x:f>IF(C1221="","",MIN(D1221+E1221,$Q$10))</x:f>
      </x:c>
      <x:c r="G1221" s="88" t="str">
        <x:f>IF(C1221="","",MIN(MAX(0,D1221+E1221-F1221),SUMIFS(SONDERZAHLUNGEN!$E$9:$E$128,SONDERZAHLUNGEN!$B$9:$B$128,C1221,SONDERZAHLUNGEN!$C$9:$C$128,A1221,SONDERZAHLUNGEN!$H$9:$H$128,"OK",SONDERZAHLUNGEN!$F$9:$F$128,"Ja")))</x:f>
      </x:c>
      <x:c r="H1221" s="88" t="str">
        <x:f>IF(C1221="","",MIN(MAX(0,D1221+E1221-F1221-G1221),MAX(0,IF(MONATSBUDGET!$C$68="",0,MONATSBUDGET!$C$68)-SUM(F1220:F1239)-SUM(H1220:H1220))))</x:f>
      </x:c>
      <x:c r="I1221" s="88" t="str">
        <x:f>IF(C1221="","",MAX(0,ROUND(D1221+E1221-F1221-G1221-H1221,2)))</x:f>
      </x:c>
      <x:c r="J1221" s="88" t="str">
        <x:f>IF(C1221="","",F1221+G1221+H1221)</x:f>
      </x:c>
      <x:c r="K1221" s="88" t="str">
        <x:f>IF(C1221="","",MAX(0,SUMIFS(SONDERZAHLUNGEN!$E$9:$E$128,SONDERZAHLUNGEN!$B$9:$B$128,C1221,SONDERZAHLUNGEN!$C$9:$C$128,A1221,SONDERZAHLUNGEN!$H$9:$H$128,"OK",SONDERZAHLUNGEN!$F$9:$F$128,"Ja")-G1221))</x:f>
      </x:c>
    </x:row>
    <x:row r="1222" ht="19" customHeight="1">
      <x:c r="A1222" s="90" t="n">
        <x:f>MONATSBUDGET!$A$68</x:f>
        <x:v>48061</x:v>
      </x:c>
      <x:c r="B1222" t="n">
        <x:f>3</x:f>
        <x:v>3</x:v>
      </x:c>
      <x:c r="C1222" t="str">
        <x:f>IF($N$11="","",$N$11)</x:f>
      </x:c>
      <x:c r="D1222" s="88" t="str">
        <x:f>IF(C1222="","",I1202)</x:f>
      </x:c>
      <x:c r="E1222" s="88" t="str">
        <x:f>IF(C1222="","",ROUND(D1222*$P$11/12,2))</x:f>
      </x:c>
      <x:c r="F1222" s="88" t="str">
        <x:f>IF(C1222="","",MIN(D1222+E1222,$Q$11))</x:f>
      </x:c>
      <x:c r="G1222" s="88" t="str">
        <x:f>IF(C1222="","",MIN(MAX(0,D1222+E1222-F1222),SUMIFS(SONDERZAHLUNGEN!$E$9:$E$128,SONDERZAHLUNGEN!$B$9:$B$128,C1222,SONDERZAHLUNGEN!$C$9:$C$128,A1222,SONDERZAHLUNGEN!$H$9:$H$128,"OK",SONDERZAHLUNGEN!$F$9:$F$128,"Ja")))</x:f>
      </x:c>
      <x:c r="H1222" s="88" t="str">
        <x:f>IF(C1222="","",MIN(MAX(0,D1222+E1222-F1222-G1222),MAX(0,IF(MONATSBUDGET!$C$68="",0,MONATSBUDGET!$C$68)-SUM(F1220:F1239)-SUM(H1220:H1221))))</x:f>
      </x:c>
      <x:c r="I1222" s="88" t="str">
        <x:f>IF(C1222="","",MAX(0,ROUND(D1222+E1222-F1222-G1222-H1222,2)))</x:f>
      </x:c>
      <x:c r="J1222" s="88" t="str">
        <x:f>IF(C1222="","",F1222+G1222+H1222)</x:f>
      </x:c>
      <x:c r="K1222" s="88" t="str">
        <x:f>IF(C1222="","",MAX(0,SUMIFS(SONDERZAHLUNGEN!$E$9:$E$128,SONDERZAHLUNGEN!$B$9:$B$128,C1222,SONDERZAHLUNGEN!$C$9:$C$128,A1222,SONDERZAHLUNGEN!$H$9:$H$128,"OK",SONDERZAHLUNGEN!$F$9:$F$128,"Ja")-G1222))</x:f>
      </x:c>
    </x:row>
    <x:row r="1223" ht="19" customHeight="1">
      <x:c r="A1223" s="90" t="n">
        <x:f>MONATSBUDGET!$A$68</x:f>
        <x:v>48061</x:v>
      </x:c>
      <x:c r="B1223" t="n">
        <x:f>4</x:f>
        <x:v>4</x:v>
      </x:c>
      <x:c r="C1223" t="str">
        <x:f>IF($N$12="","",$N$12)</x:f>
      </x:c>
      <x:c r="D1223" s="88" t="str">
        <x:f>IF(C1223="","",I1203)</x:f>
      </x:c>
      <x:c r="E1223" s="88" t="str">
        <x:f>IF(C1223="","",ROUND(D1223*$P$12/12,2))</x:f>
      </x:c>
      <x:c r="F1223" s="88" t="str">
        <x:f>IF(C1223="","",MIN(D1223+E1223,$Q$12))</x:f>
      </x:c>
      <x:c r="G1223" s="88" t="str">
        <x:f>IF(C1223="","",MIN(MAX(0,D1223+E1223-F1223),SUMIFS(SONDERZAHLUNGEN!$E$9:$E$128,SONDERZAHLUNGEN!$B$9:$B$128,C1223,SONDERZAHLUNGEN!$C$9:$C$128,A1223,SONDERZAHLUNGEN!$H$9:$H$128,"OK",SONDERZAHLUNGEN!$F$9:$F$128,"Ja")))</x:f>
      </x:c>
      <x:c r="H1223" s="88" t="str">
        <x:f>IF(C1223="","",MIN(MAX(0,D1223+E1223-F1223-G1223),MAX(0,IF(MONATSBUDGET!$C$68="",0,MONATSBUDGET!$C$68)-SUM(F1220:F1239)-SUM(H1220:H1222))))</x:f>
      </x:c>
      <x:c r="I1223" s="88" t="str">
        <x:f>IF(C1223="","",MAX(0,ROUND(D1223+E1223-F1223-G1223-H1223,2)))</x:f>
      </x:c>
      <x:c r="J1223" s="88" t="str">
        <x:f>IF(C1223="","",F1223+G1223+H1223)</x:f>
      </x:c>
      <x:c r="K1223" s="88" t="str">
        <x:f>IF(C1223="","",MAX(0,SUMIFS(SONDERZAHLUNGEN!$E$9:$E$128,SONDERZAHLUNGEN!$B$9:$B$128,C1223,SONDERZAHLUNGEN!$C$9:$C$128,A1223,SONDERZAHLUNGEN!$H$9:$H$128,"OK",SONDERZAHLUNGEN!$F$9:$F$128,"Ja")-G1223))</x:f>
      </x:c>
    </x:row>
    <x:row r="1224" ht="19" customHeight="1">
      <x:c r="A1224" s="90" t="n">
        <x:f>MONATSBUDGET!$A$68</x:f>
        <x:v>48061</x:v>
      </x:c>
      <x:c r="B1224" t="n">
        <x:f>5</x:f>
        <x:v>5</x:v>
      </x:c>
      <x:c r="C1224" t="str">
        <x:f>IF($N$13="","",$N$13)</x:f>
      </x:c>
      <x:c r="D1224" s="88" t="str">
        <x:f>IF(C1224="","",I1204)</x:f>
      </x:c>
      <x:c r="E1224" s="88" t="str">
        <x:f>IF(C1224="","",ROUND(D1224*$P$13/12,2))</x:f>
      </x:c>
      <x:c r="F1224" s="88" t="str">
        <x:f>IF(C1224="","",MIN(D1224+E1224,$Q$13))</x:f>
      </x:c>
      <x:c r="G1224" s="88" t="str">
        <x:f>IF(C1224="","",MIN(MAX(0,D1224+E1224-F1224),SUMIFS(SONDERZAHLUNGEN!$E$9:$E$128,SONDERZAHLUNGEN!$B$9:$B$128,C1224,SONDERZAHLUNGEN!$C$9:$C$128,A1224,SONDERZAHLUNGEN!$H$9:$H$128,"OK",SONDERZAHLUNGEN!$F$9:$F$128,"Ja")))</x:f>
      </x:c>
      <x:c r="H1224" s="88" t="str">
        <x:f>IF(C1224="","",MIN(MAX(0,D1224+E1224-F1224-G1224),MAX(0,IF(MONATSBUDGET!$C$68="",0,MONATSBUDGET!$C$68)-SUM(F1220:F1239)-SUM(H1220:H1223))))</x:f>
      </x:c>
      <x:c r="I1224" s="88" t="str">
        <x:f>IF(C1224="","",MAX(0,ROUND(D1224+E1224-F1224-G1224-H1224,2)))</x:f>
      </x:c>
      <x:c r="J1224" s="88" t="str">
        <x:f>IF(C1224="","",F1224+G1224+H1224)</x:f>
      </x:c>
      <x:c r="K1224" s="88" t="str">
        <x:f>IF(C1224="","",MAX(0,SUMIFS(SONDERZAHLUNGEN!$E$9:$E$128,SONDERZAHLUNGEN!$B$9:$B$128,C1224,SONDERZAHLUNGEN!$C$9:$C$128,A1224,SONDERZAHLUNGEN!$H$9:$H$128,"OK",SONDERZAHLUNGEN!$F$9:$F$128,"Ja")-G1224))</x:f>
      </x:c>
    </x:row>
    <x:row r="1225" ht="19" customHeight="1">
      <x:c r="A1225" s="90" t="n">
        <x:f>MONATSBUDGET!$A$68</x:f>
        <x:v>48061</x:v>
      </x:c>
      <x:c r="B1225" t="n">
        <x:f>6</x:f>
        <x:v>6</x:v>
      </x:c>
      <x:c r="C1225" t="str">
        <x:f>IF($N$14="","",$N$14)</x:f>
      </x:c>
      <x:c r="D1225" s="88" t="str">
        <x:f>IF(C1225="","",I1205)</x:f>
      </x:c>
      <x:c r="E1225" s="88" t="str">
        <x:f>IF(C1225="","",ROUND(D1225*$P$14/12,2))</x:f>
      </x:c>
      <x:c r="F1225" s="88" t="str">
        <x:f>IF(C1225="","",MIN(D1225+E1225,$Q$14))</x:f>
      </x:c>
      <x:c r="G1225" s="88" t="str">
        <x:f>IF(C1225="","",MIN(MAX(0,D1225+E1225-F1225),SUMIFS(SONDERZAHLUNGEN!$E$9:$E$128,SONDERZAHLUNGEN!$B$9:$B$128,C1225,SONDERZAHLUNGEN!$C$9:$C$128,A1225,SONDERZAHLUNGEN!$H$9:$H$128,"OK",SONDERZAHLUNGEN!$F$9:$F$128,"Ja")))</x:f>
      </x:c>
      <x:c r="H1225" s="88" t="str">
        <x:f>IF(C1225="","",MIN(MAX(0,D1225+E1225-F1225-G1225),MAX(0,IF(MONATSBUDGET!$C$68="",0,MONATSBUDGET!$C$68)-SUM(F1220:F1239)-SUM(H1220:H1224))))</x:f>
      </x:c>
      <x:c r="I1225" s="88" t="str">
        <x:f>IF(C1225="","",MAX(0,ROUND(D1225+E1225-F1225-G1225-H1225,2)))</x:f>
      </x:c>
      <x:c r="J1225" s="88" t="str">
        <x:f>IF(C1225="","",F1225+G1225+H1225)</x:f>
      </x:c>
      <x:c r="K1225" s="88" t="str">
        <x:f>IF(C1225="","",MAX(0,SUMIFS(SONDERZAHLUNGEN!$E$9:$E$128,SONDERZAHLUNGEN!$B$9:$B$128,C1225,SONDERZAHLUNGEN!$C$9:$C$128,A1225,SONDERZAHLUNGEN!$H$9:$H$128,"OK",SONDERZAHLUNGEN!$F$9:$F$128,"Ja")-G1225))</x:f>
      </x:c>
    </x:row>
    <x:row r="1226" ht="19" customHeight="1">
      <x:c r="A1226" s="90" t="n">
        <x:f>MONATSBUDGET!$A$68</x:f>
        <x:v>48061</x:v>
      </x:c>
      <x:c r="B1226" t="n">
        <x:f>7</x:f>
        <x:v>7</x:v>
      </x:c>
      <x:c r="C1226" t="str">
        <x:f>IF($N$15="","",$N$15)</x:f>
      </x:c>
      <x:c r="D1226" s="88" t="str">
        <x:f>IF(C1226="","",I1206)</x:f>
      </x:c>
      <x:c r="E1226" s="88" t="str">
        <x:f>IF(C1226="","",ROUND(D1226*$P$15/12,2))</x:f>
      </x:c>
      <x:c r="F1226" s="88" t="str">
        <x:f>IF(C1226="","",MIN(D1226+E1226,$Q$15))</x:f>
      </x:c>
      <x:c r="G1226" s="88" t="str">
        <x:f>IF(C1226="","",MIN(MAX(0,D1226+E1226-F1226),SUMIFS(SONDERZAHLUNGEN!$E$9:$E$128,SONDERZAHLUNGEN!$B$9:$B$128,C1226,SONDERZAHLUNGEN!$C$9:$C$128,A1226,SONDERZAHLUNGEN!$H$9:$H$128,"OK",SONDERZAHLUNGEN!$F$9:$F$128,"Ja")))</x:f>
      </x:c>
      <x:c r="H1226" s="88" t="str">
        <x:f>IF(C1226="","",MIN(MAX(0,D1226+E1226-F1226-G1226),MAX(0,IF(MONATSBUDGET!$C$68="",0,MONATSBUDGET!$C$68)-SUM(F1220:F1239)-SUM(H1220:H1225))))</x:f>
      </x:c>
      <x:c r="I1226" s="88" t="str">
        <x:f>IF(C1226="","",MAX(0,ROUND(D1226+E1226-F1226-G1226-H1226,2)))</x:f>
      </x:c>
      <x:c r="J1226" s="88" t="str">
        <x:f>IF(C1226="","",F1226+G1226+H1226)</x:f>
      </x:c>
      <x:c r="K1226" s="88" t="str">
        <x:f>IF(C1226="","",MAX(0,SUMIFS(SONDERZAHLUNGEN!$E$9:$E$128,SONDERZAHLUNGEN!$B$9:$B$128,C1226,SONDERZAHLUNGEN!$C$9:$C$128,A1226,SONDERZAHLUNGEN!$H$9:$H$128,"OK",SONDERZAHLUNGEN!$F$9:$F$128,"Ja")-G1226))</x:f>
      </x:c>
    </x:row>
    <x:row r="1227" ht="19" customHeight="1">
      <x:c r="A1227" s="90" t="n">
        <x:f>MONATSBUDGET!$A$68</x:f>
        <x:v>48061</x:v>
      </x:c>
      <x:c r="B1227" t="n">
        <x:f>8</x:f>
        <x:v>8</x:v>
      </x:c>
      <x:c r="C1227" t="str">
        <x:f>IF($N$16="","",$N$16)</x:f>
      </x:c>
      <x:c r="D1227" s="88" t="str">
        <x:f>IF(C1227="","",I1207)</x:f>
      </x:c>
      <x:c r="E1227" s="88" t="str">
        <x:f>IF(C1227="","",ROUND(D1227*$P$16/12,2))</x:f>
      </x:c>
      <x:c r="F1227" s="88" t="str">
        <x:f>IF(C1227="","",MIN(D1227+E1227,$Q$16))</x:f>
      </x:c>
      <x:c r="G1227" s="88" t="str">
        <x:f>IF(C1227="","",MIN(MAX(0,D1227+E1227-F1227),SUMIFS(SONDERZAHLUNGEN!$E$9:$E$128,SONDERZAHLUNGEN!$B$9:$B$128,C1227,SONDERZAHLUNGEN!$C$9:$C$128,A1227,SONDERZAHLUNGEN!$H$9:$H$128,"OK",SONDERZAHLUNGEN!$F$9:$F$128,"Ja")))</x:f>
      </x:c>
      <x:c r="H1227" s="88" t="str">
        <x:f>IF(C1227="","",MIN(MAX(0,D1227+E1227-F1227-G1227),MAX(0,IF(MONATSBUDGET!$C$68="",0,MONATSBUDGET!$C$68)-SUM(F1220:F1239)-SUM(H1220:H1226))))</x:f>
      </x:c>
      <x:c r="I1227" s="88" t="str">
        <x:f>IF(C1227="","",MAX(0,ROUND(D1227+E1227-F1227-G1227-H1227,2)))</x:f>
      </x:c>
      <x:c r="J1227" s="88" t="str">
        <x:f>IF(C1227="","",F1227+G1227+H1227)</x:f>
      </x:c>
      <x:c r="K1227" s="88" t="str">
        <x:f>IF(C1227="","",MAX(0,SUMIFS(SONDERZAHLUNGEN!$E$9:$E$128,SONDERZAHLUNGEN!$B$9:$B$128,C1227,SONDERZAHLUNGEN!$C$9:$C$128,A1227,SONDERZAHLUNGEN!$H$9:$H$128,"OK",SONDERZAHLUNGEN!$F$9:$F$128,"Ja")-G1227))</x:f>
      </x:c>
    </x:row>
    <x:row r="1228" ht="19" customHeight="1">
      <x:c r="A1228" s="90" t="n">
        <x:f>MONATSBUDGET!$A$68</x:f>
        <x:v>48061</x:v>
      </x:c>
      <x:c r="B1228" t="n">
        <x:f>9</x:f>
        <x:v>9</x:v>
      </x:c>
      <x:c r="C1228" t="str">
        <x:f>IF($N$17="","",$N$17)</x:f>
      </x:c>
      <x:c r="D1228" s="88" t="str">
        <x:f>IF(C1228="","",I1208)</x:f>
      </x:c>
      <x:c r="E1228" s="88" t="str">
        <x:f>IF(C1228="","",ROUND(D1228*$P$17/12,2))</x:f>
      </x:c>
      <x:c r="F1228" s="88" t="str">
        <x:f>IF(C1228="","",MIN(D1228+E1228,$Q$17))</x:f>
      </x:c>
      <x:c r="G1228" s="88" t="str">
        <x:f>IF(C1228="","",MIN(MAX(0,D1228+E1228-F1228),SUMIFS(SONDERZAHLUNGEN!$E$9:$E$128,SONDERZAHLUNGEN!$B$9:$B$128,C1228,SONDERZAHLUNGEN!$C$9:$C$128,A1228,SONDERZAHLUNGEN!$H$9:$H$128,"OK",SONDERZAHLUNGEN!$F$9:$F$128,"Ja")))</x:f>
      </x:c>
      <x:c r="H1228" s="88" t="str">
        <x:f>IF(C1228="","",MIN(MAX(0,D1228+E1228-F1228-G1228),MAX(0,IF(MONATSBUDGET!$C$68="",0,MONATSBUDGET!$C$68)-SUM(F1220:F1239)-SUM(H1220:H1227))))</x:f>
      </x:c>
      <x:c r="I1228" s="88" t="str">
        <x:f>IF(C1228="","",MAX(0,ROUND(D1228+E1228-F1228-G1228-H1228,2)))</x:f>
      </x:c>
      <x:c r="J1228" s="88" t="str">
        <x:f>IF(C1228="","",F1228+G1228+H1228)</x:f>
      </x:c>
      <x:c r="K1228" s="88" t="str">
        <x:f>IF(C1228="","",MAX(0,SUMIFS(SONDERZAHLUNGEN!$E$9:$E$128,SONDERZAHLUNGEN!$B$9:$B$128,C1228,SONDERZAHLUNGEN!$C$9:$C$128,A1228,SONDERZAHLUNGEN!$H$9:$H$128,"OK",SONDERZAHLUNGEN!$F$9:$F$128,"Ja")-G1228))</x:f>
      </x:c>
    </x:row>
    <x:row r="1229" ht="19" customHeight="1">
      <x:c r="A1229" s="90" t="n">
        <x:f>MONATSBUDGET!$A$68</x:f>
        <x:v>48061</x:v>
      </x:c>
      <x:c r="B1229" t="n">
        <x:f>10</x:f>
        <x:v>10</x:v>
      </x:c>
      <x:c r="C1229" t="str">
        <x:f>IF($N$18="","",$N$18)</x:f>
      </x:c>
      <x:c r="D1229" s="88" t="str">
        <x:f>IF(C1229="","",I1209)</x:f>
      </x:c>
      <x:c r="E1229" s="88" t="str">
        <x:f>IF(C1229="","",ROUND(D1229*$P$18/12,2))</x:f>
      </x:c>
      <x:c r="F1229" s="88" t="str">
        <x:f>IF(C1229="","",MIN(D1229+E1229,$Q$18))</x:f>
      </x:c>
      <x:c r="G1229" s="88" t="str">
        <x:f>IF(C1229="","",MIN(MAX(0,D1229+E1229-F1229),SUMIFS(SONDERZAHLUNGEN!$E$9:$E$128,SONDERZAHLUNGEN!$B$9:$B$128,C1229,SONDERZAHLUNGEN!$C$9:$C$128,A1229,SONDERZAHLUNGEN!$H$9:$H$128,"OK",SONDERZAHLUNGEN!$F$9:$F$128,"Ja")))</x:f>
      </x:c>
      <x:c r="H1229" s="88" t="str">
        <x:f>IF(C1229="","",MIN(MAX(0,D1229+E1229-F1229-G1229),MAX(0,IF(MONATSBUDGET!$C$68="",0,MONATSBUDGET!$C$68)-SUM(F1220:F1239)-SUM(H1220:H1228))))</x:f>
      </x:c>
      <x:c r="I1229" s="88" t="str">
        <x:f>IF(C1229="","",MAX(0,ROUND(D1229+E1229-F1229-G1229-H1229,2)))</x:f>
      </x:c>
      <x:c r="J1229" s="88" t="str">
        <x:f>IF(C1229="","",F1229+G1229+H1229)</x:f>
      </x:c>
      <x:c r="K1229" s="88" t="str">
        <x:f>IF(C1229="","",MAX(0,SUMIFS(SONDERZAHLUNGEN!$E$9:$E$128,SONDERZAHLUNGEN!$B$9:$B$128,C1229,SONDERZAHLUNGEN!$C$9:$C$128,A1229,SONDERZAHLUNGEN!$H$9:$H$128,"OK",SONDERZAHLUNGEN!$F$9:$F$128,"Ja")-G1229))</x:f>
      </x:c>
    </x:row>
    <x:row r="1230" ht="19" customHeight="1">
      <x:c r="A1230" s="90" t="n">
        <x:f>MONATSBUDGET!$A$68</x:f>
        <x:v>48061</x:v>
      </x:c>
      <x:c r="B1230" t="n">
        <x:f>11</x:f>
        <x:v>11</x:v>
      </x:c>
      <x:c r="C1230" t="str">
        <x:f>IF($N$19="","",$N$19)</x:f>
      </x:c>
      <x:c r="D1230" s="88" t="str">
        <x:f>IF(C1230="","",I1210)</x:f>
      </x:c>
      <x:c r="E1230" s="88" t="str">
        <x:f>IF(C1230="","",ROUND(D1230*$P$19/12,2))</x:f>
      </x:c>
      <x:c r="F1230" s="88" t="str">
        <x:f>IF(C1230="","",MIN(D1230+E1230,$Q$19))</x:f>
      </x:c>
      <x:c r="G1230" s="88" t="str">
        <x:f>IF(C1230="","",MIN(MAX(0,D1230+E1230-F1230),SUMIFS(SONDERZAHLUNGEN!$E$9:$E$128,SONDERZAHLUNGEN!$B$9:$B$128,C1230,SONDERZAHLUNGEN!$C$9:$C$128,A1230,SONDERZAHLUNGEN!$H$9:$H$128,"OK",SONDERZAHLUNGEN!$F$9:$F$128,"Ja")))</x:f>
      </x:c>
      <x:c r="H1230" s="88" t="str">
        <x:f>IF(C1230="","",MIN(MAX(0,D1230+E1230-F1230-G1230),MAX(0,IF(MONATSBUDGET!$C$68="",0,MONATSBUDGET!$C$68)-SUM(F1220:F1239)-SUM(H1220:H1229))))</x:f>
      </x:c>
      <x:c r="I1230" s="88" t="str">
        <x:f>IF(C1230="","",MAX(0,ROUND(D1230+E1230-F1230-G1230-H1230,2)))</x:f>
      </x:c>
      <x:c r="J1230" s="88" t="str">
        <x:f>IF(C1230="","",F1230+G1230+H1230)</x:f>
      </x:c>
      <x:c r="K1230" s="88" t="str">
        <x:f>IF(C1230="","",MAX(0,SUMIFS(SONDERZAHLUNGEN!$E$9:$E$128,SONDERZAHLUNGEN!$B$9:$B$128,C1230,SONDERZAHLUNGEN!$C$9:$C$128,A1230,SONDERZAHLUNGEN!$H$9:$H$128,"OK",SONDERZAHLUNGEN!$F$9:$F$128,"Ja")-G1230))</x:f>
      </x:c>
    </x:row>
    <x:row r="1231" ht="19" customHeight="1">
      <x:c r="A1231" s="90" t="n">
        <x:f>MONATSBUDGET!$A$68</x:f>
        <x:v>48061</x:v>
      </x:c>
      <x:c r="B1231" t="n">
        <x:f>12</x:f>
        <x:v>12</x:v>
      </x:c>
      <x:c r="C1231" t="str">
        <x:f>IF($N$20="","",$N$20)</x:f>
      </x:c>
      <x:c r="D1231" s="88" t="str">
        <x:f>IF(C1231="","",I1211)</x:f>
      </x:c>
      <x:c r="E1231" s="88" t="str">
        <x:f>IF(C1231="","",ROUND(D1231*$P$20/12,2))</x:f>
      </x:c>
      <x:c r="F1231" s="88" t="str">
        <x:f>IF(C1231="","",MIN(D1231+E1231,$Q$20))</x:f>
      </x:c>
      <x:c r="G1231" s="88" t="str">
        <x:f>IF(C1231="","",MIN(MAX(0,D1231+E1231-F1231),SUMIFS(SONDERZAHLUNGEN!$E$9:$E$128,SONDERZAHLUNGEN!$B$9:$B$128,C1231,SONDERZAHLUNGEN!$C$9:$C$128,A1231,SONDERZAHLUNGEN!$H$9:$H$128,"OK",SONDERZAHLUNGEN!$F$9:$F$128,"Ja")))</x:f>
      </x:c>
      <x:c r="H1231" s="88" t="str">
        <x:f>IF(C1231="","",MIN(MAX(0,D1231+E1231-F1231-G1231),MAX(0,IF(MONATSBUDGET!$C$68="",0,MONATSBUDGET!$C$68)-SUM(F1220:F1239)-SUM(H1220:H1230))))</x:f>
      </x:c>
      <x:c r="I1231" s="88" t="str">
        <x:f>IF(C1231="","",MAX(0,ROUND(D1231+E1231-F1231-G1231-H1231,2)))</x:f>
      </x:c>
      <x:c r="J1231" s="88" t="str">
        <x:f>IF(C1231="","",F1231+G1231+H1231)</x:f>
      </x:c>
      <x:c r="K1231" s="88" t="str">
        <x:f>IF(C1231="","",MAX(0,SUMIFS(SONDERZAHLUNGEN!$E$9:$E$128,SONDERZAHLUNGEN!$B$9:$B$128,C1231,SONDERZAHLUNGEN!$C$9:$C$128,A1231,SONDERZAHLUNGEN!$H$9:$H$128,"OK",SONDERZAHLUNGEN!$F$9:$F$128,"Ja")-G1231))</x:f>
      </x:c>
    </x:row>
    <x:row r="1232" ht="19" customHeight="1">
      <x:c r="A1232" s="90" t="n">
        <x:f>MONATSBUDGET!$A$68</x:f>
        <x:v>48061</x:v>
      </x:c>
      <x:c r="B1232" t="n">
        <x:f>13</x:f>
        <x:v>13</x:v>
      </x:c>
      <x:c r="C1232" t="str">
        <x:f>IF($N$21="","",$N$21)</x:f>
      </x:c>
      <x:c r="D1232" s="88" t="str">
        <x:f>IF(C1232="","",I1212)</x:f>
      </x:c>
      <x:c r="E1232" s="88" t="str">
        <x:f>IF(C1232="","",ROUND(D1232*$P$21/12,2))</x:f>
      </x:c>
      <x:c r="F1232" s="88" t="str">
        <x:f>IF(C1232="","",MIN(D1232+E1232,$Q$21))</x:f>
      </x:c>
      <x:c r="G1232" s="88" t="str">
        <x:f>IF(C1232="","",MIN(MAX(0,D1232+E1232-F1232),SUMIFS(SONDERZAHLUNGEN!$E$9:$E$128,SONDERZAHLUNGEN!$B$9:$B$128,C1232,SONDERZAHLUNGEN!$C$9:$C$128,A1232,SONDERZAHLUNGEN!$H$9:$H$128,"OK",SONDERZAHLUNGEN!$F$9:$F$128,"Ja")))</x:f>
      </x:c>
      <x:c r="H1232" s="88" t="str">
        <x:f>IF(C1232="","",MIN(MAX(0,D1232+E1232-F1232-G1232),MAX(0,IF(MONATSBUDGET!$C$68="",0,MONATSBUDGET!$C$68)-SUM(F1220:F1239)-SUM(H1220:H1231))))</x:f>
      </x:c>
      <x:c r="I1232" s="88" t="str">
        <x:f>IF(C1232="","",MAX(0,ROUND(D1232+E1232-F1232-G1232-H1232,2)))</x:f>
      </x:c>
      <x:c r="J1232" s="88" t="str">
        <x:f>IF(C1232="","",F1232+G1232+H1232)</x:f>
      </x:c>
      <x:c r="K1232" s="88" t="str">
        <x:f>IF(C1232="","",MAX(0,SUMIFS(SONDERZAHLUNGEN!$E$9:$E$128,SONDERZAHLUNGEN!$B$9:$B$128,C1232,SONDERZAHLUNGEN!$C$9:$C$128,A1232,SONDERZAHLUNGEN!$H$9:$H$128,"OK",SONDERZAHLUNGEN!$F$9:$F$128,"Ja")-G1232))</x:f>
      </x:c>
    </x:row>
    <x:row r="1233" ht="19" customHeight="1">
      <x:c r="A1233" s="90" t="n">
        <x:f>MONATSBUDGET!$A$68</x:f>
        <x:v>48061</x:v>
      </x:c>
      <x:c r="B1233" t="n">
        <x:f>14</x:f>
        <x:v>14</x:v>
      </x:c>
      <x:c r="C1233" t="str">
        <x:f>IF($N$22="","",$N$22)</x:f>
      </x:c>
      <x:c r="D1233" s="88" t="str">
        <x:f>IF(C1233="","",I1213)</x:f>
      </x:c>
      <x:c r="E1233" s="88" t="str">
        <x:f>IF(C1233="","",ROUND(D1233*$P$22/12,2))</x:f>
      </x:c>
      <x:c r="F1233" s="88" t="str">
        <x:f>IF(C1233="","",MIN(D1233+E1233,$Q$22))</x:f>
      </x:c>
      <x:c r="G1233" s="88" t="str">
        <x:f>IF(C1233="","",MIN(MAX(0,D1233+E1233-F1233),SUMIFS(SONDERZAHLUNGEN!$E$9:$E$128,SONDERZAHLUNGEN!$B$9:$B$128,C1233,SONDERZAHLUNGEN!$C$9:$C$128,A1233,SONDERZAHLUNGEN!$H$9:$H$128,"OK",SONDERZAHLUNGEN!$F$9:$F$128,"Ja")))</x:f>
      </x:c>
      <x:c r="H1233" s="88" t="str">
        <x:f>IF(C1233="","",MIN(MAX(0,D1233+E1233-F1233-G1233),MAX(0,IF(MONATSBUDGET!$C$68="",0,MONATSBUDGET!$C$68)-SUM(F1220:F1239)-SUM(H1220:H1232))))</x:f>
      </x:c>
      <x:c r="I1233" s="88" t="str">
        <x:f>IF(C1233="","",MAX(0,ROUND(D1233+E1233-F1233-G1233-H1233,2)))</x:f>
      </x:c>
      <x:c r="J1233" s="88" t="str">
        <x:f>IF(C1233="","",F1233+G1233+H1233)</x:f>
      </x:c>
      <x:c r="K1233" s="88" t="str">
        <x:f>IF(C1233="","",MAX(0,SUMIFS(SONDERZAHLUNGEN!$E$9:$E$128,SONDERZAHLUNGEN!$B$9:$B$128,C1233,SONDERZAHLUNGEN!$C$9:$C$128,A1233,SONDERZAHLUNGEN!$H$9:$H$128,"OK",SONDERZAHLUNGEN!$F$9:$F$128,"Ja")-G1233))</x:f>
      </x:c>
    </x:row>
    <x:row r="1234" ht="19" customHeight="1">
      <x:c r="A1234" s="90" t="n">
        <x:f>MONATSBUDGET!$A$68</x:f>
        <x:v>48061</x:v>
      </x:c>
      <x:c r="B1234" t="n">
        <x:f>15</x:f>
        <x:v>15</x:v>
      </x:c>
      <x:c r="C1234" t="str">
        <x:f>IF($N$23="","",$N$23)</x:f>
      </x:c>
      <x:c r="D1234" s="88" t="str">
        <x:f>IF(C1234="","",I1214)</x:f>
      </x:c>
      <x:c r="E1234" s="88" t="str">
        <x:f>IF(C1234="","",ROUND(D1234*$P$23/12,2))</x:f>
      </x:c>
      <x:c r="F1234" s="88" t="str">
        <x:f>IF(C1234="","",MIN(D1234+E1234,$Q$23))</x:f>
      </x:c>
      <x:c r="G1234" s="88" t="str">
        <x:f>IF(C1234="","",MIN(MAX(0,D1234+E1234-F1234),SUMIFS(SONDERZAHLUNGEN!$E$9:$E$128,SONDERZAHLUNGEN!$B$9:$B$128,C1234,SONDERZAHLUNGEN!$C$9:$C$128,A1234,SONDERZAHLUNGEN!$H$9:$H$128,"OK",SONDERZAHLUNGEN!$F$9:$F$128,"Ja")))</x:f>
      </x:c>
      <x:c r="H1234" s="88" t="str">
        <x:f>IF(C1234="","",MIN(MAX(0,D1234+E1234-F1234-G1234),MAX(0,IF(MONATSBUDGET!$C$68="",0,MONATSBUDGET!$C$68)-SUM(F1220:F1239)-SUM(H1220:H1233))))</x:f>
      </x:c>
      <x:c r="I1234" s="88" t="str">
        <x:f>IF(C1234="","",MAX(0,ROUND(D1234+E1234-F1234-G1234-H1234,2)))</x:f>
      </x:c>
      <x:c r="J1234" s="88" t="str">
        <x:f>IF(C1234="","",F1234+G1234+H1234)</x:f>
      </x:c>
      <x:c r="K1234" s="88" t="str">
        <x:f>IF(C1234="","",MAX(0,SUMIFS(SONDERZAHLUNGEN!$E$9:$E$128,SONDERZAHLUNGEN!$B$9:$B$128,C1234,SONDERZAHLUNGEN!$C$9:$C$128,A1234,SONDERZAHLUNGEN!$H$9:$H$128,"OK",SONDERZAHLUNGEN!$F$9:$F$128,"Ja")-G1234))</x:f>
      </x:c>
    </x:row>
    <x:row r="1235" ht="19" customHeight="1">
      <x:c r="A1235" s="90" t="n">
        <x:f>MONATSBUDGET!$A$68</x:f>
        <x:v>48061</x:v>
      </x:c>
      <x:c r="B1235" t="n">
        <x:f>16</x:f>
        <x:v>16</x:v>
      </x:c>
      <x:c r="C1235" t="str">
        <x:f>IF($N$24="","",$N$24)</x:f>
      </x:c>
      <x:c r="D1235" s="88" t="str">
        <x:f>IF(C1235="","",I1215)</x:f>
      </x:c>
      <x:c r="E1235" s="88" t="str">
        <x:f>IF(C1235="","",ROUND(D1235*$P$24/12,2))</x:f>
      </x:c>
      <x:c r="F1235" s="88" t="str">
        <x:f>IF(C1235="","",MIN(D1235+E1235,$Q$24))</x:f>
      </x:c>
      <x:c r="G1235" s="88" t="str">
        <x:f>IF(C1235="","",MIN(MAX(0,D1235+E1235-F1235),SUMIFS(SONDERZAHLUNGEN!$E$9:$E$128,SONDERZAHLUNGEN!$B$9:$B$128,C1235,SONDERZAHLUNGEN!$C$9:$C$128,A1235,SONDERZAHLUNGEN!$H$9:$H$128,"OK",SONDERZAHLUNGEN!$F$9:$F$128,"Ja")))</x:f>
      </x:c>
      <x:c r="H1235" s="88" t="str">
        <x:f>IF(C1235="","",MIN(MAX(0,D1235+E1235-F1235-G1235),MAX(0,IF(MONATSBUDGET!$C$68="",0,MONATSBUDGET!$C$68)-SUM(F1220:F1239)-SUM(H1220:H1234))))</x:f>
      </x:c>
      <x:c r="I1235" s="88" t="str">
        <x:f>IF(C1235="","",MAX(0,ROUND(D1235+E1235-F1235-G1235-H1235,2)))</x:f>
      </x:c>
      <x:c r="J1235" s="88" t="str">
        <x:f>IF(C1235="","",F1235+G1235+H1235)</x:f>
      </x:c>
      <x:c r="K1235" s="88" t="str">
        <x:f>IF(C1235="","",MAX(0,SUMIFS(SONDERZAHLUNGEN!$E$9:$E$128,SONDERZAHLUNGEN!$B$9:$B$128,C1235,SONDERZAHLUNGEN!$C$9:$C$128,A1235,SONDERZAHLUNGEN!$H$9:$H$128,"OK",SONDERZAHLUNGEN!$F$9:$F$128,"Ja")-G1235))</x:f>
      </x:c>
    </x:row>
    <x:row r="1236" ht="19" customHeight="1">
      <x:c r="A1236" s="90" t="n">
        <x:f>MONATSBUDGET!$A$68</x:f>
        <x:v>48061</x:v>
      </x:c>
      <x:c r="B1236" t="n">
        <x:f>17</x:f>
        <x:v>17</x:v>
      </x:c>
      <x:c r="C1236" t="str">
        <x:f>IF($N$25="","",$N$25)</x:f>
      </x:c>
      <x:c r="D1236" s="88" t="str">
        <x:f>IF(C1236="","",I1216)</x:f>
      </x:c>
      <x:c r="E1236" s="88" t="str">
        <x:f>IF(C1236="","",ROUND(D1236*$P$25/12,2))</x:f>
      </x:c>
      <x:c r="F1236" s="88" t="str">
        <x:f>IF(C1236="","",MIN(D1236+E1236,$Q$25))</x:f>
      </x:c>
      <x:c r="G1236" s="88" t="str">
        <x:f>IF(C1236="","",MIN(MAX(0,D1236+E1236-F1236),SUMIFS(SONDERZAHLUNGEN!$E$9:$E$128,SONDERZAHLUNGEN!$B$9:$B$128,C1236,SONDERZAHLUNGEN!$C$9:$C$128,A1236,SONDERZAHLUNGEN!$H$9:$H$128,"OK",SONDERZAHLUNGEN!$F$9:$F$128,"Ja")))</x:f>
      </x:c>
      <x:c r="H1236" s="88" t="str">
        <x:f>IF(C1236="","",MIN(MAX(0,D1236+E1236-F1236-G1236),MAX(0,IF(MONATSBUDGET!$C$68="",0,MONATSBUDGET!$C$68)-SUM(F1220:F1239)-SUM(H1220:H1235))))</x:f>
      </x:c>
      <x:c r="I1236" s="88" t="str">
        <x:f>IF(C1236="","",MAX(0,ROUND(D1236+E1236-F1236-G1236-H1236,2)))</x:f>
      </x:c>
      <x:c r="J1236" s="88" t="str">
        <x:f>IF(C1236="","",F1236+G1236+H1236)</x:f>
      </x:c>
      <x:c r="K1236" s="88" t="str">
        <x:f>IF(C1236="","",MAX(0,SUMIFS(SONDERZAHLUNGEN!$E$9:$E$128,SONDERZAHLUNGEN!$B$9:$B$128,C1236,SONDERZAHLUNGEN!$C$9:$C$128,A1236,SONDERZAHLUNGEN!$H$9:$H$128,"OK",SONDERZAHLUNGEN!$F$9:$F$128,"Ja")-G1236))</x:f>
      </x:c>
    </x:row>
    <x:row r="1237" ht="19" customHeight="1">
      <x:c r="A1237" s="90" t="n">
        <x:f>MONATSBUDGET!$A$68</x:f>
        <x:v>48061</x:v>
      </x:c>
      <x:c r="B1237" t="n">
        <x:f>18</x:f>
        <x:v>18</x:v>
      </x:c>
      <x:c r="C1237" t="str">
        <x:f>IF($N$26="","",$N$26)</x:f>
      </x:c>
      <x:c r="D1237" s="88" t="str">
        <x:f>IF(C1237="","",I1217)</x:f>
      </x:c>
      <x:c r="E1237" s="88" t="str">
        <x:f>IF(C1237="","",ROUND(D1237*$P$26/12,2))</x:f>
      </x:c>
      <x:c r="F1237" s="88" t="str">
        <x:f>IF(C1237="","",MIN(D1237+E1237,$Q$26))</x:f>
      </x:c>
      <x:c r="G1237" s="88" t="str">
        <x:f>IF(C1237="","",MIN(MAX(0,D1237+E1237-F1237),SUMIFS(SONDERZAHLUNGEN!$E$9:$E$128,SONDERZAHLUNGEN!$B$9:$B$128,C1237,SONDERZAHLUNGEN!$C$9:$C$128,A1237,SONDERZAHLUNGEN!$H$9:$H$128,"OK",SONDERZAHLUNGEN!$F$9:$F$128,"Ja")))</x:f>
      </x:c>
      <x:c r="H1237" s="88" t="str">
        <x:f>IF(C1237="","",MIN(MAX(0,D1237+E1237-F1237-G1237),MAX(0,IF(MONATSBUDGET!$C$68="",0,MONATSBUDGET!$C$68)-SUM(F1220:F1239)-SUM(H1220:H1236))))</x:f>
      </x:c>
      <x:c r="I1237" s="88" t="str">
        <x:f>IF(C1237="","",MAX(0,ROUND(D1237+E1237-F1237-G1237-H1237,2)))</x:f>
      </x:c>
      <x:c r="J1237" s="88" t="str">
        <x:f>IF(C1237="","",F1237+G1237+H1237)</x:f>
      </x:c>
      <x:c r="K1237" s="88" t="str">
        <x:f>IF(C1237="","",MAX(0,SUMIFS(SONDERZAHLUNGEN!$E$9:$E$128,SONDERZAHLUNGEN!$B$9:$B$128,C1237,SONDERZAHLUNGEN!$C$9:$C$128,A1237,SONDERZAHLUNGEN!$H$9:$H$128,"OK",SONDERZAHLUNGEN!$F$9:$F$128,"Ja")-G1237))</x:f>
      </x:c>
    </x:row>
    <x:row r="1238" ht="19" customHeight="1">
      <x:c r="A1238" s="90" t="n">
        <x:f>MONATSBUDGET!$A$68</x:f>
        <x:v>48061</x:v>
      </x:c>
      <x:c r="B1238" t="n">
        <x:f>19</x:f>
        <x:v>19</x:v>
      </x:c>
      <x:c r="C1238" t="str">
        <x:f>IF($N$27="","",$N$27)</x:f>
      </x:c>
      <x:c r="D1238" s="88" t="str">
        <x:f>IF(C1238="","",I1218)</x:f>
      </x:c>
      <x:c r="E1238" s="88" t="str">
        <x:f>IF(C1238="","",ROUND(D1238*$P$27/12,2))</x:f>
      </x:c>
      <x:c r="F1238" s="88" t="str">
        <x:f>IF(C1238="","",MIN(D1238+E1238,$Q$27))</x:f>
      </x:c>
      <x:c r="G1238" s="88" t="str">
        <x:f>IF(C1238="","",MIN(MAX(0,D1238+E1238-F1238),SUMIFS(SONDERZAHLUNGEN!$E$9:$E$128,SONDERZAHLUNGEN!$B$9:$B$128,C1238,SONDERZAHLUNGEN!$C$9:$C$128,A1238,SONDERZAHLUNGEN!$H$9:$H$128,"OK",SONDERZAHLUNGEN!$F$9:$F$128,"Ja")))</x:f>
      </x:c>
      <x:c r="H1238" s="88" t="str">
        <x:f>IF(C1238="","",MIN(MAX(0,D1238+E1238-F1238-G1238),MAX(0,IF(MONATSBUDGET!$C$68="",0,MONATSBUDGET!$C$68)-SUM(F1220:F1239)-SUM(H1220:H1237))))</x:f>
      </x:c>
      <x:c r="I1238" s="88" t="str">
        <x:f>IF(C1238="","",MAX(0,ROUND(D1238+E1238-F1238-G1238-H1238,2)))</x:f>
      </x:c>
      <x:c r="J1238" s="88" t="str">
        <x:f>IF(C1238="","",F1238+G1238+H1238)</x:f>
      </x:c>
      <x:c r="K1238" s="88" t="str">
        <x:f>IF(C1238="","",MAX(0,SUMIFS(SONDERZAHLUNGEN!$E$9:$E$128,SONDERZAHLUNGEN!$B$9:$B$128,C1238,SONDERZAHLUNGEN!$C$9:$C$128,A1238,SONDERZAHLUNGEN!$H$9:$H$128,"OK",SONDERZAHLUNGEN!$F$9:$F$128,"Ja")-G1238))</x:f>
      </x:c>
    </x:row>
    <x:row r="1239" ht="19" customHeight="1">
      <x:c r="A1239" s="90" t="n">
        <x:f>MONATSBUDGET!$A$68</x:f>
        <x:v>48061</x:v>
      </x:c>
      <x:c r="B1239" t="n">
        <x:f>20</x:f>
        <x:v>20</x:v>
      </x:c>
      <x:c r="C1239" t="str">
        <x:f>IF($N$28="","",$N$28)</x:f>
      </x:c>
      <x:c r="D1239" s="88" t="str">
        <x:f>IF(C1239="","",I1219)</x:f>
      </x:c>
      <x:c r="E1239" s="88" t="str">
        <x:f>IF(C1239="","",ROUND(D1239*$P$28/12,2))</x:f>
      </x:c>
      <x:c r="F1239" s="88" t="str">
        <x:f>IF(C1239="","",MIN(D1239+E1239,$Q$28))</x:f>
      </x:c>
      <x:c r="G1239" s="88" t="str">
        <x:f>IF(C1239="","",MIN(MAX(0,D1239+E1239-F1239),SUMIFS(SONDERZAHLUNGEN!$E$9:$E$128,SONDERZAHLUNGEN!$B$9:$B$128,C1239,SONDERZAHLUNGEN!$C$9:$C$128,A1239,SONDERZAHLUNGEN!$H$9:$H$128,"OK",SONDERZAHLUNGEN!$F$9:$F$128,"Ja")))</x:f>
      </x:c>
      <x:c r="H1239" s="88" t="str">
        <x:f>IF(C1239="","",MIN(MAX(0,D1239+E1239-F1239-G1239),MAX(0,IF(MONATSBUDGET!$C$68="",0,MONATSBUDGET!$C$68)-SUM(F1220:F1239)-SUM(H1220:H1238))))</x:f>
      </x:c>
      <x:c r="I1239" s="88" t="str">
        <x:f>IF(C1239="","",MAX(0,ROUND(D1239+E1239-F1239-G1239-H1239,2)))</x:f>
      </x:c>
      <x:c r="J1239" s="88" t="str">
        <x:f>IF(C1239="","",F1239+G1239+H1239)</x:f>
      </x:c>
      <x:c r="K1239" s="88" t="str">
        <x:f>IF(C1239="","",MAX(0,SUMIFS(SONDERZAHLUNGEN!$E$9:$E$128,SONDERZAHLUNGEN!$B$9:$B$128,C1239,SONDERZAHLUNGEN!$C$9:$C$128,A1239,SONDERZAHLUNGEN!$H$9:$H$128,"OK",SONDERZAHLUNGEN!$F$9:$F$128,"Ja")-G1239))</x:f>
      </x:c>
    </x:row>
    <x:row r="1240" ht="19" customHeight="1">
      <x:c r="A1240" s="90" t="n">
        <x:f>MONATSBUDGET!$A$69</x:f>
        <x:v>48092</x:v>
      </x:c>
      <x:c r="B1240" t="n">
        <x:f>1</x:f>
        <x:v>1</x:v>
      </x:c>
      <x:c r="C1240" t="str">
        <x:f>IF($N$9="","",$N$9)</x:f>
      </x:c>
      <x:c r="D1240" s="88" t="str">
        <x:f>IF(C1240="","",I1220)</x:f>
      </x:c>
      <x:c r="E1240" s="88" t="str">
        <x:f>IF(C1240="","",ROUND(D1240*$P$9/12,2))</x:f>
      </x:c>
      <x:c r="F1240" s="88" t="str">
        <x:f>IF(C1240="","",MIN(D1240+E1240,$Q$9))</x:f>
      </x:c>
      <x:c r="G1240" s="88" t="str">
        <x:f>IF(C1240="","",MIN(MAX(0,D1240+E1240-F1240),SUMIFS(SONDERZAHLUNGEN!$E$9:$E$128,SONDERZAHLUNGEN!$B$9:$B$128,C1240,SONDERZAHLUNGEN!$C$9:$C$128,A1240,SONDERZAHLUNGEN!$H$9:$H$128,"OK",SONDERZAHLUNGEN!$F$9:$F$128,"Ja")))</x:f>
      </x:c>
      <x:c r="H1240" s="88" t="str">
        <x:f>IF(C1240="","",MIN(MAX(0,D1240+E1240-F1240-G1240),MAX(0,IF(MONATSBUDGET!$C$69="",0,MONATSBUDGET!$C$69)-SUM(F1240:F1259)-0)))</x:f>
      </x:c>
      <x:c r="I1240" s="88" t="str">
        <x:f>IF(C1240="","",MAX(0,ROUND(D1240+E1240-F1240-G1240-H1240,2)))</x:f>
      </x:c>
      <x:c r="J1240" s="88" t="str">
        <x:f>IF(C1240="","",F1240+G1240+H1240)</x:f>
      </x:c>
      <x:c r="K1240" s="88" t="str">
        <x:f>IF(C1240="","",MAX(0,SUMIFS(SONDERZAHLUNGEN!$E$9:$E$128,SONDERZAHLUNGEN!$B$9:$B$128,C1240,SONDERZAHLUNGEN!$C$9:$C$128,A1240,SONDERZAHLUNGEN!$H$9:$H$128,"OK",SONDERZAHLUNGEN!$F$9:$F$128,"Ja")-G1240))</x:f>
      </x:c>
    </x:row>
    <x:row r="1241" ht="19" customHeight="1">
      <x:c r="A1241" s="90" t="n">
        <x:f>MONATSBUDGET!$A$69</x:f>
        <x:v>48092</x:v>
      </x:c>
      <x:c r="B1241" t="n">
        <x:f>2</x:f>
        <x:v>2</x:v>
      </x:c>
      <x:c r="C1241" t="str">
        <x:f>IF($N$10="","",$N$10)</x:f>
      </x:c>
      <x:c r="D1241" s="88" t="str">
        <x:f>IF(C1241="","",I1221)</x:f>
      </x:c>
      <x:c r="E1241" s="88" t="str">
        <x:f>IF(C1241="","",ROUND(D1241*$P$10/12,2))</x:f>
      </x:c>
      <x:c r="F1241" s="88" t="str">
        <x:f>IF(C1241="","",MIN(D1241+E1241,$Q$10))</x:f>
      </x:c>
      <x:c r="G1241" s="88" t="str">
        <x:f>IF(C1241="","",MIN(MAX(0,D1241+E1241-F1241),SUMIFS(SONDERZAHLUNGEN!$E$9:$E$128,SONDERZAHLUNGEN!$B$9:$B$128,C1241,SONDERZAHLUNGEN!$C$9:$C$128,A1241,SONDERZAHLUNGEN!$H$9:$H$128,"OK",SONDERZAHLUNGEN!$F$9:$F$128,"Ja")))</x:f>
      </x:c>
      <x:c r="H1241" s="88" t="str">
        <x:f>IF(C1241="","",MIN(MAX(0,D1241+E1241-F1241-G1241),MAX(0,IF(MONATSBUDGET!$C$69="",0,MONATSBUDGET!$C$69)-SUM(F1240:F1259)-SUM(H1240:H1240))))</x:f>
      </x:c>
      <x:c r="I1241" s="88" t="str">
        <x:f>IF(C1241="","",MAX(0,ROUND(D1241+E1241-F1241-G1241-H1241,2)))</x:f>
      </x:c>
      <x:c r="J1241" s="88" t="str">
        <x:f>IF(C1241="","",F1241+G1241+H1241)</x:f>
      </x:c>
      <x:c r="K1241" s="88" t="str">
        <x:f>IF(C1241="","",MAX(0,SUMIFS(SONDERZAHLUNGEN!$E$9:$E$128,SONDERZAHLUNGEN!$B$9:$B$128,C1241,SONDERZAHLUNGEN!$C$9:$C$128,A1241,SONDERZAHLUNGEN!$H$9:$H$128,"OK",SONDERZAHLUNGEN!$F$9:$F$128,"Ja")-G1241))</x:f>
      </x:c>
    </x:row>
    <x:row r="1242" ht="19" customHeight="1">
      <x:c r="A1242" s="90" t="n">
        <x:f>MONATSBUDGET!$A$69</x:f>
        <x:v>48092</x:v>
      </x:c>
      <x:c r="B1242" t="n">
        <x:f>3</x:f>
        <x:v>3</x:v>
      </x:c>
      <x:c r="C1242" t="str">
        <x:f>IF($N$11="","",$N$11)</x:f>
      </x:c>
      <x:c r="D1242" s="88" t="str">
        <x:f>IF(C1242="","",I1222)</x:f>
      </x:c>
      <x:c r="E1242" s="88" t="str">
        <x:f>IF(C1242="","",ROUND(D1242*$P$11/12,2))</x:f>
      </x:c>
      <x:c r="F1242" s="88" t="str">
        <x:f>IF(C1242="","",MIN(D1242+E1242,$Q$11))</x:f>
      </x:c>
      <x:c r="G1242" s="88" t="str">
        <x:f>IF(C1242="","",MIN(MAX(0,D1242+E1242-F1242),SUMIFS(SONDERZAHLUNGEN!$E$9:$E$128,SONDERZAHLUNGEN!$B$9:$B$128,C1242,SONDERZAHLUNGEN!$C$9:$C$128,A1242,SONDERZAHLUNGEN!$H$9:$H$128,"OK",SONDERZAHLUNGEN!$F$9:$F$128,"Ja")))</x:f>
      </x:c>
      <x:c r="H1242" s="88" t="str">
        <x:f>IF(C1242="","",MIN(MAX(0,D1242+E1242-F1242-G1242),MAX(0,IF(MONATSBUDGET!$C$69="",0,MONATSBUDGET!$C$69)-SUM(F1240:F1259)-SUM(H1240:H1241))))</x:f>
      </x:c>
      <x:c r="I1242" s="88" t="str">
        <x:f>IF(C1242="","",MAX(0,ROUND(D1242+E1242-F1242-G1242-H1242,2)))</x:f>
      </x:c>
      <x:c r="J1242" s="88" t="str">
        <x:f>IF(C1242="","",F1242+G1242+H1242)</x:f>
      </x:c>
      <x:c r="K1242" s="88" t="str">
        <x:f>IF(C1242="","",MAX(0,SUMIFS(SONDERZAHLUNGEN!$E$9:$E$128,SONDERZAHLUNGEN!$B$9:$B$128,C1242,SONDERZAHLUNGEN!$C$9:$C$128,A1242,SONDERZAHLUNGEN!$H$9:$H$128,"OK",SONDERZAHLUNGEN!$F$9:$F$128,"Ja")-G1242))</x:f>
      </x:c>
    </x:row>
    <x:row r="1243" ht="19" customHeight="1">
      <x:c r="A1243" s="90" t="n">
        <x:f>MONATSBUDGET!$A$69</x:f>
        <x:v>48092</x:v>
      </x:c>
      <x:c r="B1243" t="n">
        <x:f>4</x:f>
        <x:v>4</x:v>
      </x:c>
      <x:c r="C1243" t="str">
        <x:f>IF($N$12="","",$N$12)</x:f>
      </x:c>
      <x:c r="D1243" s="88" t="str">
        <x:f>IF(C1243="","",I1223)</x:f>
      </x:c>
      <x:c r="E1243" s="88" t="str">
        <x:f>IF(C1243="","",ROUND(D1243*$P$12/12,2))</x:f>
      </x:c>
      <x:c r="F1243" s="88" t="str">
        <x:f>IF(C1243="","",MIN(D1243+E1243,$Q$12))</x:f>
      </x:c>
      <x:c r="G1243" s="88" t="str">
        <x:f>IF(C1243="","",MIN(MAX(0,D1243+E1243-F1243),SUMIFS(SONDERZAHLUNGEN!$E$9:$E$128,SONDERZAHLUNGEN!$B$9:$B$128,C1243,SONDERZAHLUNGEN!$C$9:$C$128,A1243,SONDERZAHLUNGEN!$H$9:$H$128,"OK",SONDERZAHLUNGEN!$F$9:$F$128,"Ja")))</x:f>
      </x:c>
      <x:c r="H1243" s="88" t="str">
        <x:f>IF(C1243="","",MIN(MAX(0,D1243+E1243-F1243-G1243),MAX(0,IF(MONATSBUDGET!$C$69="",0,MONATSBUDGET!$C$69)-SUM(F1240:F1259)-SUM(H1240:H1242))))</x:f>
      </x:c>
      <x:c r="I1243" s="88" t="str">
        <x:f>IF(C1243="","",MAX(0,ROUND(D1243+E1243-F1243-G1243-H1243,2)))</x:f>
      </x:c>
      <x:c r="J1243" s="88" t="str">
        <x:f>IF(C1243="","",F1243+G1243+H1243)</x:f>
      </x:c>
      <x:c r="K1243" s="88" t="str">
        <x:f>IF(C1243="","",MAX(0,SUMIFS(SONDERZAHLUNGEN!$E$9:$E$128,SONDERZAHLUNGEN!$B$9:$B$128,C1243,SONDERZAHLUNGEN!$C$9:$C$128,A1243,SONDERZAHLUNGEN!$H$9:$H$128,"OK",SONDERZAHLUNGEN!$F$9:$F$128,"Ja")-G1243))</x:f>
      </x:c>
    </x:row>
    <x:row r="1244" ht="19" customHeight="1">
      <x:c r="A1244" s="90" t="n">
        <x:f>MONATSBUDGET!$A$69</x:f>
        <x:v>48092</x:v>
      </x:c>
      <x:c r="B1244" t="n">
        <x:f>5</x:f>
        <x:v>5</x:v>
      </x:c>
      <x:c r="C1244" t="str">
        <x:f>IF($N$13="","",$N$13)</x:f>
      </x:c>
      <x:c r="D1244" s="88" t="str">
        <x:f>IF(C1244="","",I1224)</x:f>
      </x:c>
      <x:c r="E1244" s="88" t="str">
        <x:f>IF(C1244="","",ROUND(D1244*$P$13/12,2))</x:f>
      </x:c>
      <x:c r="F1244" s="88" t="str">
        <x:f>IF(C1244="","",MIN(D1244+E1244,$Q$13))</x:f>
      </x:c>
      <x:c r="G1244" s="88" t="str">
        <x:f>IF(C1244="","",MIN(MAX(0,D1244+E1244-F1244),SUMIFS(SONDERZAHLUNGEN!$E$9:$E$128,SONDERZAHLUNGEN!$B$9:$B$128,C1244,SONDERZAHLUNGEN!$C$9:$C$128,A1244,SONDERZAHLUNGEN!$H$9:$H$128,"OK",SONDERZAHLUNGEN!$F$9:$F$128,"Ja")))</x:f>
      </x:c>
      <x:c r="H1244" s="88" t="str">
        <x:f>IF(C1244="","",MIN(MAX(0,D1244+E1244-F1244-G1244),MAX(0,IF(MONATSBUDGET!$C$69="",0,MONATSBUDGET!$C$69)-SUM(F1240:F1259)-SUM(H1240:H1243))))</x:f>
      </x:c>
      <x:c r="I1244" s="88" t="str">
        <x:f>IF(C1244="","",MAX(0,ROUND(D1244+E1244-F1244-G1244-H1244,2)))</x:f>
      </x:c>
      <x:c r="J1244" s="88" t="str">
        <x:f>IF(C1244="","",F1244+G1244+H1244)</x:f>
      </x:c>
      <x:c r="K1244" s="88" t="str">
        <x:f>IF(C1244="","",MAX(0,SUMIFS(SONDERZAHLUNGEN!$E$9:$E$128,SONDERZAHLUNGEN!$B$9:$B$128,C1244,SONDERZAHLUNGEN!$C$9:$C$128,A1244,SONDERZAHLUNGEN!$H$9:$H$128,"OK",SONDERZAHLUNGEN!$F$9:$F$128,"Ja")-G1244))</x:f>
      </x:c>
    </x:row>
    <x:row r="1245" ht="19" customHeight="1">
      <x:c r="A1245" s="90" t="n">
        <x:f>MONATSBUDGET!$A$69</x:f>
        <x:v>48092</x:v>
      </x:c>
      <x:c r="B1245" t="n">
        <x:f>6</x:f>
        <x:v>6</x:v>
      </x:c>
      <x:c r="C1245" t="str">
        <x:f>IF($N$14="","",$N$14)</x:f>
      </x:c>
      <x:c r="D1245" s="88" t="str">
        <x:f>IF(C1245="","",I1225)</x:f>
      </x:c>
      <x:c r="E1245" s="88" t="str">
        <x:f>IF(C1245="","",ROUND(D1245*$P$14/12,2))</x:f>
      </x:c>
      <x:c r="F1245" s="88" t="str">
        <x:f>IF(C1245="","",MIN(D1245+E1245,$Q$14))</x:f>
      </x:c>
      <x:c r="G1245" s="88" t="str">
        <x:f>IF(C1245="","",MIN(MAX(0,D1245+E1245-F1245),SUMIFS(SONDERZAHLUNGEN!$E$9:$E$128,SONDERZAHLUNGEN!$B$9:$B$128,C1245,SONDERZAHLUNGEN!$C$9:$C$128,A1245,SONDERZAHLUNGEN!$H$9:$H$128,"OK",SONDERZAHLUNGEN!$F$9:$F$128,"Ja")))</x:f>
      </x:c>
      <x:c r="H1245" s="88" t="str">
        <x:f>IF(C1245="","",MIN(MAX(0,D1245+E1245-F1245-G1245),MAX(0,IF(MONATSBUDGET!$C$69="",0,MONATSBUDGET!$C$69)-SUM(F1240:F1259)-SUM(H1240:H1244))))</x:f>
      </x:c>
      <x:c r="I1245" s="88" t="str">
        <x:f>IF(C1245="","",MAX(0,ROUND(D1245+E1245-F1245-G1245-H1245,2)))</x:f>
      </x:c>
      <x:c r="J1245" s="88" t="str">
        <x:f>IF(C1245="","",F1245+G1245+H1245)</x:f>
      </x:c>
      <x:c r="K1245" s="88" t="str">
        <x:f>IF(C1245="","",MAX(0,SUMIFS(SONDERZAHLUNGEN!$E$9:$E$128,SONDERZAHLUNGEN!$B$9:$B$128,C1245,SONDERZAHLUNGEN!$C$9:$C$128,A1245,SONDERZAHLUNGEN!$H$9:$H$128,"OK",SONDERZAHLUNGEN!$F$9:$F$128,"Ja")-G1245))</x:f>
      </x:c>
    </x:row>
    <x:row r="1246" ht="19" customHeight="1">
      <x:c r="A1246" s="90" t="n">
        <x:f>MONATSBUDGET!$A$69</x:f>
        <x:v>48092</x:v>
      </x:c>
      <x:c r="B1246" t="n">
        <x:f>7</x:f>
        <x:v>7</x:v>
      </x:c>
      <x:c r="C1246" t="str">
        <x:f>IF($N$15="","",$N$15)</x:f>
      </x:c>
      <x:c r="D1246" s="88" t="str">
        <x:f>IF(C1246="","",I1226)</x:f>
      </x:c>
      <x:c r="E1246" s="88" t="str">
        <x:f>IF(C1246="","",ROUND(D1246*$P$15/12,2))</x:f>
      </x:c>
      <x:c r="F1246" s="88" t="str">
        <x:f>IF(C1246="","",MIN(D1246+E1246,$Q$15))</x:f>
      </x:c>
      <x:c r="G1246" s="88" t="str">
        <x:f>IF(C1246="","",MIN(MAX(0,D1246+E1246-F1246),SUMIFS(SONDERZAHLUNGEN!$E$9:$E$128,SONDERZAHLUNGEN!$B$9:$B$128,C1246,SONDERZAHLUNGEN!$C$9:$C$128,A1246,SONDERZAHLUNGEN!$H$9:$H$128,"OK",SONDERZAHLUNGEN!$F$9:$F$128,"Ja")))</x:f>
      </x:c>
      <x:c r="H1246" s="88" t="str">
        <x:f>IF(C1246="","",MIN(MAX(0,D1246+E1246-F1246-G1246),MAX(0,IF(MONATSBUDGET!$C$69="",0,MONATSBUDGET!$C$69)-SUM(F1240:F1259)-SUM(H1240:H1245))))</x:f>
      </x:c>
      <x:c r="I1246" s="88" t="str">
        <x:f>IF(C1246="","",MAX(0,ROUND(D1246+E1246-F1246-G1246-H1246,2)))</x:f>
      </x:c>
      <x:c r="J1246" s="88" t="str">
        <x:f>IF(C1246="","",F1246+G1246+H1246)</x:f>
      </x:c>
      <x:c r="K1246" s="88" t="str">
        <x:f>IF(C1246="","",MAX(0,SUMIFS(SONDERZAHLUNGEN!$E$9:$E$128,SONDERZAHLUNGEN!$B$9:$B$128,C1246,SONDERZAHLUNGEN!$C$9:$C$128,A1246,SONDERZAHLUNGEN!$H$9:$H$128,"OK",SONDERZAHLUNGEN!$F$9:$F$128,"Ja")-G1246))</x:f>
      </x:c>
    </x:row>
    <x:row r="1247" ht="19" customHeight="1">
      <x:c r="A1247" s="90" t="n">
        <x:f>MONATSBUDGET!$A$69</x:f>
        <x:v>48092</x:v>
      </x:c>
      <x:c r="B1247" t="n">
        <x:f>8</x:f>
        <x:v>8</x:v>
      </x:c>
      <x:c r="C1247" t="str">
        <x:f>IF($N$16="","",$N$16)</x:f>
      </x:c>
      <x:c r="D1247" s="88" t="str">
        <x:f>IF(C1247="","",I1227)</x:f>
      </x:c>
      <x:c r="E1247" s="88" t="str">
        <x:f>IF(C1247="","",ROUND(D1247*$P$16/12,2))</x:f>
      </x:c>
      <x:c r="F1247" s="88" t="str">
        <x:f>IF(C1247="","",MIN(D1247+E1247,$Q$16))</x:f>
      </x:c>
      <x:c r="G1247" s="88" t="str">
        <x:f>IF(C1247="","",MIN(MAX(0,D1247+E1247-F1247),SUMIFS(SONDERZAHLUNGEN!$E$9:$E$128,SONDERZAHLUNGEN!$B$9:$B$128,C1247,SONDERZAHLUNGEN!$C$9:$C$128,A1247,SONDERZAHLUNGEN!$H$9:$H$128,"OK",SONDERZAHLUNGEN!$F$9:$F$128,"Ja")))</x:f>
      </x:c>
      <x:c r="H1247" s="88" t="str">
        <x:f>IF(C1247="","",MIN(MAX(0,D1247+E1247-F1247-G1247),MAX(0,IF(MONATSBUDGET!$C$69="",0,MONATSBUDGET!$C$69)-SUM(F1240:F1259)-SUM(H1240:H1246))))</x:f>
      </x:c>
      <x:c r="I1247" s="88" t="str">
        <x:f>IF(C1247="","",MAX(0,ROUND(D1247+E1247-F1247-G1247-H1247,2)))</x:f>
      </x:c>
      <x:c r="J1247" s="88" t="str">
        <x:f>IF(C1247="","",F1247+G1247+H1247)</x:f>
      </x:c>
      <x:c r="K1247" s="88" t="str">
        <x:f>IF(C1247="","",MAX(0,SUMIFS(SONDERZAHLUNGEN!$E$9:$E$128,SONDERZAHLUNGEN!$B$9:$B$128,C1247,SONDERZAHLUNGEN!$C$9:$C$128,A1247,SONDERZAHLUNGEN!$H$9:$H$128,"OK",SONDERZAHLUNGEN!$F$9:$F$128,"Ja")-G1247))</x:f>
      </x:c>
    </x:row>
    <x:row r="1248" ht="19" customHeight="1">
      <x:c r="A1248" s="90" t="n">
        <x:f>MONATSBUDGET!$A$69</x:f>
        <x:v>48092</x:v>
      </x:c>
      <x:c r="B1248" t="n">
        <x:f>9</x:f>
        <x:v>9</x:v>
      </x:c>
      <x:c r="C1248" t="str">
        <x:f>IF($N$17="","",$N$17)</x:f>
      </x:c>
      <x:c r="D1248" s="88" t="str">
        <x:f>IF(C1248="","",I1228)</x:f>
      </x:c>
      <x:c r="E1248" s="88" t="str">
        <x:f>IF(C1248="","",ROUND(D1248*$P$17/12,2))</x:f>
      </x:c>
      <x:c r="F1248" s="88" t="str">
        <x:f>IF(C1248="","",MIN(D1248+E1248,$Q$17))</x:f>
      </x:c>
      <x:c r="G1248" s="88" t="str">
        <x:f>IF(C1248="","",MIN(MAX(0,D1248+E1248-F1248),SUMIFS(SONDERZAHLUNGEN!$E$9:$E$128,SONDERZAHLUNGEN!$B$9:$B$128,C1248,SONDERZAHLUNGEN!$C$9:$C$128,A1248,SONDERZAHLUNGEN!$H$9:$H$128,"OK",SONDERZAHLUNGEN!$F$9:$F$128,"Ja")))</x:f>
      </x:c>
      <x:c r="H1248" s="88" t="str">
        <x:f>IF(C1248="","",MIN(MAX(0,D1248+E1248-F1248-G1248),MAX(0,IF(MONATSBUDGET!$C$69="",0,MONATSBUDGET!$C$69)-SUM(F1240:F1259)-SUM(H1240:H1247))))</x:f>
      </x:c>
      <x:c r="I1248" s="88" t="str">
        <x:f>IF(C1248="","",MAX(0,ROUND(D1248+E1248-F1248-G1248-H1248,2)))</x:f>
      </x:c>
      <x:c r="J1248" s="88" t="str">
        <x:f>IF(C1248="","",F1248+G1248+H1248)</x:f>
      </x:c>
      <x:c r="K1248" s="88" t="str">
        <x:f>IF(C1248="","",MAX(0,SUMIFS(SONDERZAHLUNGEN!$E$9:$E$128,SONDERZAHLUNGEN!$B$9:$B$128,C1248,SONDERZAHLUNGEN!$C$9:$C$128,A1248,SONDERZAHLUNGEN!$H$9:$H$128,"OK",SONDERZAHLUNGEN!$F$9:$F$128,"Ja")-G1248))</x:f>
      </x:c>
    </x:row>
    <x:row r="1249" ht="19" customHeight="1">
      <x:c r="A1249" s="90" t="n">
        <x:f>MONATSBUDGET!$A$69</x:f>
        <x:v>48092</x:v>
      </x:c>
      <x:c r="B1249" t="n">
        <x:f>10</x:f>
        <x:v>10</x:v>
      </x:c>
      <x:c r="C1249" t="str">
        <x:f>IF($N$18="","",$N$18)</x:f>
      </x:c>
      <x:c r="D1249" s="88" t="str">
        <x:f>IF(C1249="","",I1229)</x:f>
      </x:c>
      <x:c r="E1249" s="88" t="str">
        <x:f>IF(C1249="","",ROUND(D1249*$P$18/12,2))</x:f>
      </x:c>
      <x:c r="F1249" s="88" t="str">
        <x:f>IF(C1249="","",MIN(D1249+E1249,$Q$18))</x:f>
      </x:c>
      <x:c r="G1249" s="88" t="str">
        <x:f>IF(C1249="","",MIN(MAX(0,D1249+E1249-F1249),SUMIFS(SONDERZAHLUNGEN!$E$9:$E$128,SONDERZAHLUNGEN!$B$9:$B$128,C1249,SONDERZAHLUNGEN!$C$9:$C$128,A1249,SONDERZAHLUNGEN!$H$9:$H$128,"OK",SONDERZAHLUNGEN!$F$9:$F$128,"Ja")))</x:f>
      </x:c>
      <x:c r="H1249" s="88" t="str">
        <x:f>IF(C1249="","",MIN(MAX(0,D1249+E1249-F1249-G1249),MAX(0,IF(MONATSBUDGET!$C$69="",0,MONATSBUDGET!$C$69)-SUM(F1240:F1259)-SUM(H1240:H1248))))</x:f>
      </x:c>
      <x:c r="I1249" s="88" t="str">
        <x:f>IF(C1249="","",MAX(0,ROUND(D1249+E1249-F1249-G1249-H1249,2)))</x:f>
      </x:c>
      <x:c r="J1249" s="88" t="str">
        <x:f>IF(C1249="","",F1249+G1249+H1249)</x:f>
      </x:c>
      <x:c r="K1249" s="88" t="str">
        <x:f>IF(C1249="","",MAX(0,SUMIFS(SONDERZAHLUNGEN!$E$9:$E$128,SONDERZAHLUNGEN!$B$9:$B$128,C1249,SONDERZAHLUNGEN!$C$9:$C$128,A1249,SONDERZAHLUNGEN!$H$9:$H$128,"OK",SONDERZAHLUNGEN!$F$9:$F$128,"Ja")-G1249))</x:f>
      </x:c>
    </x:row>
    <x:row r="1250" ht="19" customHeight="1">
      <x:c r="A1250" s="90" t="n">
        <x:f>MONATSBUDGET!$A$69</x:f>
        <x:v>48092</x:v>
      </x:c>
      <x:c r="B1250" t="n">
        <x:f>11</x:f>
        <x:v>11</x:v>
      </x:c>
      <x:c r="C1250" t="str">
        <x:f>IF($N$19="","",$N$19)</x:f>
      </x:c>
      <x:c r="D1250" s="88" t="str">
        <x:f>IF(C1250="","",I1230)</x:f>
      </x:c>
      <x:c r="E1250" s="88" t="str">
        <x:f>IF(C1250="","",ROUND(D1250*$P$19/12,2))</x:f>
      </x:c>
      <x:c r="F1250" s="88" t="str">
        <x:f>IF(C1250="","",MIN(D1250+E1250,$Q$19))</x:f>
      </x:c>
      <x:c r="G1250" s="88" t="str">
        <x:f>IF(C1250="","",MIN(MAX(0,D1250+E1250-F1250),SUMIFS(SONDERZAHLUNGEN!$E$9:$E$128,SONDERZAHLUNGEN!$B$9:$B$128,C1250,SONDERZAHLUNGEN!$C$9:$C$128,A1250,SONDERZAHLUNGEN!$H$9:$H$128,"OK",SONDERZAHLUNGEN!$F$9:$F$128,"Ja")))</x:f>
      </x:c>
      <x:c r="H1250" s="88" t="str">
        <x:f>IF(C1250="","",MIN(MAX(0,D1250+E1250-F1250-G1250),MAX(0,IF(MONATSBUDGET!$C$69="",0,MONATSBUDGET!$C$69)-SUM(F1240:F1259)-SUM(H1240:H1249))))</x:f>
      </x:c>
      <x:c r="I1250" s="88" t="str">
        <x:f>IF(C1250="","",MAX(0,ROUND(D1250+E1250-F1250-G1250-H1250,2)))</x:f>
      </x:c>
      <x:c r="J1250" s="88" t="str">
        <x:f>IF(C1250="","",F1250+G1250+H1250)</x:f>
      </x:c>
      <x:c r="K1250" s="88" t="str">
        <x:f>IF(C1250="","",MAX(0,SUMIFS(SONDERZAHLUNGEN!$E$9:$E$128,SONDERZAHLUNGEN!$B$9:$B$128,C1250,SONDERZAHLUNGEN!$C$9:$C$128,A1250,SONDERZAHLUNGEN!$H$9:$H$128,"OK",SONDERZAHLUNGEN!$F$9:$F$128,"Ja")-G1250))</x:f>
      </x:c>
    </x:row>
    <x:row r="1251" ht="19" customHeight="1">
      <x:c r="A1251" s="90" t="n">
        <x:f>MONATSBUDGET!$A$69</x:f>
        <x:v>48092</x:v>
      </x:c>
      <x:c r="B1251" t="n">
        <x:f>12</x:f>
        <x:v>12</x:v>
      </x:c>
      <x:c r="C1251" t="str">
        <x:f>IF($N$20="","",$N$20)</x:f>
      </x:c>
      <x:c r="D1251" s="88" t="str">
        <x:f>IF(C1251="","",I1231)</x:f>
      </x:c>
      <x:c r="E1251" s="88" t="str">
        <x:f>IF(C1251="","",ROUND(D1251*$P$20/12,2))</x:f>
      </x:c>
      <x:c r="F1251" s="88" t="str">
        <x:f>IF(C1251="","",MIN(D1251+E1251,$Q$20))</x:f>
      </x:c>
      <x:c r="G1251" s="88" t="str">
        <x:f>IF(C1251="","",MIN(MAX(0,D1251+E1251-F1251),SUMIFS(SONDERZAHLUNGEN!$E$9:$E$128,SONDERZAHLUNGEN!$B$9:$B$128,C1251,SONDERZAHLUNGEN!$C$9:$C$128,A1251,SONDERZAHLUNGEN!$H$9:$H$128,"OK",SONDERZAHLUNGEN!$F$9:$F$128,"Ja")))</x:f>
      </x:c>
      <x:c r="H1251" s="88" t="str">
        <x:f>IF(C1251="","",MIN(MAX(0,D1251+E1251-F1251-G1251),MAX(0,IF(MONATSBUDGET!$C$69="",0,MONATSBUDGET!$C$69)-SUM(F1240:F1259)-SUM(H1240:H1250))))</x:f>
      </x:c>
      <x:c r="I1251" s="88" t="str">
        <x:f>IF(C1251="","",MAX(0,ROUND(D1251+E1251-F1251-G1251-H1251,2)))</x:f>
      </x:c>
      <x:c r="J1251" s="88" t="str">
        <x:f>IF(C1251="","",F1251+G1251+H1251)</x:f>
      </x:c>
      <x:c r="K1251" s="88" t="str">
        <x:f>IF(C1251="","",MAX(0,SUMIFS(SONDERZAHLUNGEN!$E$9:$E$128,SONDERZAHLUNGEN!$B$9:$B$128,C1251,SONDERZAHLUNGEN!$C$9:$C$128,A1251,SONDERZAHLUNGEN!$H$9:$H$128,"OK",SONDERZAHLUNGEN!$F$9:$F$128,"Ja")-G1251))</x:f>
      </x:c>
    </x:row>
    <x:row r="1252" ht="19" customHeight="1">
      <x:c r="A1252" s="90" t="n">
        <x:f>MONATSBUDGET!$A$69</x:f>
        <x:v>48092</x:v>
      </x:c>
      <x:c r="B1252" t="n">
        <x:f>13</x:f>
        <x:v>13</x:v>
      </x:c>
      <x:c r="C1252" t="str">
        <x:f>IF($N$21="","",$N$21)</x:f>
      </x:c>
      <x:c r="D1252" s="88" t="str">
        <x:f>IF(C1252="","",I1232)</x:f>
      </x:c>
      <x:c r="E1252" s="88" t="str">
        <x:f>IF(C1252="","",ROUND(D1252*$P$21/12,2))</x:f>
      </x:c>
      <x:c r="F1252" s="88" t="str">
        <x:f>IF(C1252="","",MIN(D1252+E1252,$Q$21))</x:f>
      </x:c>
      <x:c r="G1252" s="88" t="str">
        <x:f>IF(C1252="","",MIN(MAX(0,D1252+E1252-F1252),SUMIFS(SONDERZAHLUNGEN!$E$9:$E$128,SONDERZAHLUNGEN!$B$9:$B$128,C1252,SONDERZAHLUNGEN!$C$9:$C$128,A1252,SONDERZAHLUNGEN!$H$9:$H$128,"OK",SONDERZAHLUNGEN!$F$9:$F$128,"Ja")))</x:f>
      </x:c>
      <x:c r="H1252" s="88" t="str">
        <x:f>IF(C1252="","",MIN(MAX(0,D1252+E1252-F1252-G1252),MAX(0,IF(MONATSBUDGET!$C$69="",0,MONATSBUDGET!$C$69)-SUM(F1240:F1259)-SUM(H1240:H1251))))</x:f>
      </x:c>
      <x:c r="I1252" s="88" t="str">
        <x:f>IF(C1252="","",MAX(0,ROUND(D1252+E1252-F1252-G1252-H1252,2)))</x:f>
      </x:c>
      <x:c r="J1252" s="88" t="str">
        <x:f>IF(C1252="","",F1252+G1252+H1252)</x:f>
      </x:c>
      <x:c r="K1252" s="88" t="str">
        <x:f>IF(C1252="","",MAX(0,SUMIFS(SONDERZAHLUNGEN!$E$9:$E$128,SONDERZAHLUNGEN!$B$9:$B$128,C1252,SONDERZAHLUNGEN!$C$9:$C$128,A1252,SONDERZAHLUNGEN!$H$9:$H$128,"OK",SONDERZAHLUNGEN!$F$9:$F$128,"Ja")-G1252))</x:f>
      </x:c>
    </x:row>
    <x:row r="1253" ht="19" customHeight="1">
      <x:c r="A1253" s="90" t="n">
        <x:f>MONATSBUDGET!$A$69</x:f>
        <x:v>48092</x:v>
      </x:c>
      <x:c r="B1253" t="n">
        <x:f>14</x:f>
        <x:v>14</x:v>
      </x:c>
      <x:c r="C1253" t="str">
        <x:f>IF($N$22="","",$N$22)</x:f>
      </x:c>
      <x:c r="D1253" s="88" t="str">
        <x:f>IF(C1253="","",I1233)</x:f>
      </x:c>
      <x:c r="E1253" s="88" t="str">
        <x:f>IF(C1253="","",ROUND(D1253*$P$22/12,2))</x:f>
      </x:c>
      <x:c r="F1253" s="88" t="str">
        <x:f>IF(C1253="","",MIN(D1253+E1253,$Q$22))</x:f>
      </x:c>
      <x:c r="G1253" s="88" t="str">
        <x:f>IF(C1253="","",MIN(MAX(0,D1253+E1253-F1253),SUMIFS(SONDERZAHLUNGEN!$E$9:$E$128,SONDERZAHLUNGEN!$B$9:$B$128,C1253,SONDERZAHLUNGEN!$C$9:$C$128,A1253,SONDERZAHLUNGEN!$H$9:$H$128,"OK",SONDERZAHLUNGEN!$F$9:$F$128,"Ja")))</x:f>
      </x:c>
      <x:c r="H1253" s="88" t="str">
        <x:f>IF(C1253="","",MIN(MAX(0,D1253+E1253-F1253-G1253),MAX(0,IF(MONATSBUDGET!$C$69="",0,MONATSBUDGET!$C$69)-SUM(F1240:F1259)-SUM(H1240:H1252))))</x:f>
      </x:c>
      <x:c r="I1253" s="88" t="str">
        <x:f>IF(C1253="","",MAX(0,ROUND(D1253+E1253-F1253-G1253-H1253,2)))</x:f>
      </x:c>
      <x:c r="J1253" s="88" t="str">
        <x:f>IF(C1253="","",F1253+G1253+H1253)</x:f>
      </x:c>
      <x:c r="K1253" s="88" t="str">
        <x:f>IF(C1253="","",MAX(0,SUMIFS(SONDERZAHLUNGEN!$E$9:$E$128,SONDERZAHLUNGEN!$B$9:$B$128,C1253,SONDERZAHLUNGEN!$C$9:$C$128,A1253,SONDERZAHLUNGEN!$H$9:$H$128,"OK",SONDERZAHLUNGEN!$F$9:$F$128,"Ja")-G1253))</x:f>
      </x:c>
    </x:row>
    <x:row r="1254" ht="19" customHeight="1">
      <x:c r="A1254" s="90" t="n">
        <x:f>MONATSBUDGET!$A$69</x:f>
        <x:v>48092</x:v>
      </x:c>
      <x:c r="B1254" t="n">
        <x:f>15</x:f>
        <x:v>15</x:v>
      </x:c>
      <x:c r="C1254" t="str">
        <x:f>IF($N$23="","",$N$23)</x:f>
      </x:c>
      <x:c r="D1254" s="88" t="str">
        <x:f>IF(C1254="","",I1234)</x:f>
      </x:c>
      <x:c r="E1254" s="88" t="str">
        <x:f>IF(C1254="","",ROUND(D1254*$P$23/12,2))</x:f>
      </x:c>
      <x:c r="F1254" s="88" t="str">
        <x:f>IF(C1254="","",MIN(D1254+E1254,$Q$23))</x:f>
      </x:c>
      <x:c r="G1254" s="88" t="str">
        <x:f>IF(C1254="","",MIN(MAX(0,D1254+E1254-F1254),SUMIFS(SONDERZAHLUNGEN!$E$9:$E$128,SONDERZAHLUNGEN!$B$9:$B$128,C1254,SONDERZAHLUNGEN!$C$9:$C$128,A1254,SONDERZAHLUNGEN!$H$9:$H$128,"OK",SONDERZAHLUNGEN!$F$9:$F$128,"Ja")))</x:f>
      </x:c>
      <x:c r="H1254" s="88" t="str">
        <x:f>IF(C1254="","",MIN(MAX(0,D1254+E1254-F1254-G1254),MAX(0,IF(MONATSBUDGET!$C$69="",0,MONATSBUDGET!$C$69)-SUM(F1240:F1259)-SUM(H1240:H1253))))</x:f>
      </x:c>
      <x:c r="I1254" s="88" t="str">
        <x:f>IF(C1254="","",MAX(0,ROUND(D1254+E1254-F1254-G1254-H1254,2)))</x:f>
      </x:c>
      <x:c r="J1254" s="88" t="str">
        <x:f>IF(C1254="","",F1254+G1254+H1254)</x:f>
      </x:c>
      <x:c r="K1254" s="88" t="str">
        <x:f>IF(C1254="","",MAX(0,SUMIFS(SONDERZAHLUNGEN!$E$9:$E$128,SONDERZAHLUNGEN!$B$9:$B$128,C1254,SONDERZAHLUNGEN!$C$9:$C$128,A1254,SONDERZAHLUNGEN!$H$9:$H$128,"OK",SONDERZAHLUNGEN!$F$9:$F$128,"Ja")-G1254))</x:f>
      </x:c>
    </x:row>
    <x:row r="1255" ht="19" customHeight="1">
      <x:c r="A1255" s="90" t="n">
        <x:f>MONATSBUDGET!$A$69</x:f>
        <x:v>48092</x:v>
      </x:c>
      <x:c r="B1255" t="n">
        <x:f>16</x:f>
        <x:v>16</x:v>
      </x:c>
      <x:c r="C1255" t="str">
        <x:f>IF($N$24="","",$N$24)</x:f>
      </x:c>
      <x:c r="D1255" s="88" t="str">
        <x:f>IF(C1255="","",I1235)</x:f>
      </x:c>
      <x:c r="E1255" s="88" t="str">
        <x:f>IF(C1255="","",ROUND(D1255*$P$24/12,2))</x:f>
      </x:c>
      <x:c r="F1255" s="88" t="str">
        <x:f>IF(C1255="","",MIN(D1255+E1255,$Q$24))</x:f>
      </x:c>
      <x:c r="G1255" s="88" t="str">
        <x:f>IF(C1255="","",MIN(MAX(0,D1255+E1255-F1255),SUMIFS(SONDERZAHLUNGEN!$E$9:$E$128,SONDERZAHLUNGEN!$B$9:$B$128,C1255,SONDERZAHLUNGEN!$C$9:$C$128,A1255,SONDERZAHLUNGEN!$H$9:$H$128,"OK",SONDERZAHLUNGEN!$F$9:$F$128,"Ja")))</x:f>
      </x:c>
      <x:c r="H1255" s="88" t="str">
        <x:f>IF(C1255="","",MIN(MAX(0,D1255+E1255-F1255-G1255),MAX(0,IF(MONATSBUDGET!$C$69="",0,MONATSBUDGET!$C$69)-SUM(F1240:F1259)-SUM(H1240:H1254))))</x:f>
      </x:c>
      <x:c r="I1255" s="88" t="str">
        <x:f>IF(C1255="","",MAX(0,ROUND(D1255+E1255-F1255-G1255-H1255,2)))</x:f>
      </x:c>
      <x:c r="J1255" s="88" t="str">
        <x:f>IF(C1255="","",F1255+G1255+H1255)</x:f>
      </x:c>
      <x:c r="K1255" s="88" t="str">
        <x:f>IF(C1255="","",MAX(0,SUMIFS(SONDERZAHLUNGEN!$E$9:$E$128,SONDERZAHLUNGEN!$B$9:$B$128,C1255,SONDERZAHLUNGEN!$C$9:$C$128,A1255,SONDERZAHLUNGEN!$H$9:$H$128,"OK",SONDERZAHLUNGEN!$F$9:$F$128,"Ja")-G1255))</x:f>
      </x:c>
    </x:row>
    <x:row r="1256" ht="19" customHeight="1">
      <x:c r="A1256" s="90" t="n">
        <x:f>MONATSBUDGET!$A$69</x:f>
        <x:v>48092</x:v>
      </x:c>
      <x:c r="B1256" t="n">
        <x:f>17</x:f>
        <x:v>17</x:v>
      </x:c>
      <x:c r="C1256" t="str">
        <x:f>IF($N$25="","",$N$25)</x:f>
      </x:c>
      <x:c r="D1256" s="88" t="str">
        <x:f>IF(C1256="","",I1236)</x:f>
      </x:c>
      <x:c r="E1256" s="88" t="str">
        <x:f>IF(C1256="","",ROUND(D1256*$P$25/12,2))</x:f>
      </x:c>
      <x:c r="F1256" s="88" t="str">
        <x:f>IF(C1256="","",MIN(D1256+E1256,$Q$25))</x:f>
      </x:c>
      <x:c r="G1256" s="88" t="str">
        <x:f>IF(C1256="","",MIN(MAX(0,D1256+E1256-F1256),SUMIFS(SONDERZAHLUNGEN!$E$9:$E$128,SONDERZAHLUNGEN!$B$9:$B$128,C1256,SONDERZAHLUNGEN!$C$9:$C$128,A1256,SONDERZAHLUNGEN!$H$9:$H$128,"OK",SONDERZAHLUNGEN!$F$9:$F$128,"Ja")))</x:f>
      </x:c>
      <x:c r="H1256" s="88" t="str">
        <x:f>IF(C1256="","",MIN(MAX(0,D1256+E1256-F1256-G1256),MAX(0,IF(MONATSBUDGET!$C$69="",0,MONATSBUDGET!$C$69)-SUM(F1240:F1259)-SUM(H1240:H1255))))</x:f>
      </x:c>
      <x:c r="I1256" s="88" t="str">
        <x:f>IF(C1256="","",MAX(0,ROUND(D1256+E1256-F1256-G1256-H1256,2)))</x:f>
      </x:c>
      <x:c r="J1256" s="88" t="str">
        <x:f>IF(C1256="","",F1256+G1256+H1256)</x:f>
      </x:c>
      <x:c r="K1256" s="88" t="str">
        <x:f>IF(C1256="","",MAX(0,SUMIFS(SONDERZAHLUNGEN!$E$9:$E$128,SONDERZAHLUNGEN!$B$9:$B$128,C1256,SONDERZAHLUNGEN!$C$9:$C$128,A1256,SONDERZAHLUNGEN!$H$9:$H$128,"OK",SONDERZAHLUNGEN!$F$9:$F$128,"Ja")-G1256))</x:f>
      </x:c>
    </x:row>
    <x:row r="1257" ht="19" customHeight="1">
      <x:c r="A1257" s="90" t="n">
        <x:f>MONATSBUDGET!$A$69</x:f>
        <x:v>48092</x:v>
      </x:c>
      <x:c r="B1257" t="n">
        <x:f>18</x:f>
        <x:v>18</x:v>
      </x:c>
      <x:c r="C1257" t="str">
        <x:f>IF($N$26="","",$N$26)</x:f>
      </x:c>
      <x:c r="D1257" s="88" t="str">
        <x:f>IF(C1257="","",I1237)</x:f>
      </x:c>
      <x:c r="E1257" s="88" t="str">
        <x:f>IF(C1257="","",ROUND(D1257*$P$26/12,2))</x:f>
      </x:c>
      <x:c r="F1257" s="88" t="str">
        <x:f>IF(C1257="","",MIN(D1257+E1257,$Q$26))</x:f>
      </x:c>
      <x:c r="G1257" s="88" t="str">
        <x:f>IF(C1257="","",MIN(MAX(0,D1257+E1257-F1257),SUMIFS(SONDERZAHLUNGEN!$E$9:$E$128,SONDERZAHLUNGEN!$B$9:$B$128,C1257,SONDERZAHLUNGEN!$C$9:$C$128,A1257,SONDERZAHLUNGEN!$H$9:$H$128,"OK",SONDERZAHLUNGEN!$F$9:$F$128,"Ja")))</x:f>
      </x:c>
      <x:c r="H1257" s="88" t="str">
        <x:f>IF(C1257="","",MIN(MAX(0,D1257+E1257-F1257-G1257),MAX(0,IF(MONATSBUDGET!$C$69="",0,MONATSBUDGET!$C$69)-SUM(F1240:F1259)-SUM(H1240:H1256))))</x:f>
      </x:c>
      <x:c r="I1257" s="88" t="str">
        <x:f>IF(C1257="","",MAX(0,ROUND(D1257+E1257-F1257-G1257-H1257,2)))</x:f>
      </x:c>
      <x:c r="J1257" s="88" t="str">
        <x:f>IF(C1257="","",F1257+G1257+H1257)</x:f>
      </x:c>
      <x:c r="K1257" s="88" t="str">
        <x:f>IF(C1257="","",MAX(0,SUMIFS(SONDERZAHLUNGEN!$E$9:$E$128,SONDERZAHLUNGEN!$B$9:$B$128,C1257,SONDERZAHLUNGEN!$C$9:$C$128,A1257,SONDERZAHLUNGEN!$H$9:$H$128,"OK",SONDERZAHLUNGEN!$F$9:$F$128,"Ja")-G1257))</x:f>
      </x:c>
    </x:row>
    <x:row r="1258" ht="19" customHeight="1">
      <x:c r="A1258" s="90" t="n">
        <x:f>MONATSBUDGET!$A$69</x:f>
        <x:v>48092</x:v>
      </x:c>
      <x:c r="B1258" t="n">
        <x:f>19</x:f>
        <x:v>19</x:v>
      </x:c>
      <x:c r="C1258" t="str">
        <x:f>IF($N$27="","",$N$27)</x:f>
      </x:c>
      <x:c r="D1258" s="88" t="str">
        <x:f>IF(C1258="","",I1238)</x:f>
      </x:c>
      <x:c r="E1258" s="88" t="str">
        <x:f>IF(C1258="","",ROUND(D1258*$P$27/12,2))</x:f>
      </x:c>
      <x:c r="F1258" s="88" t="str">
        <x:f>IF(C1258="","",MIN(D1258+E1258,$Q$27))</x:f>
      </x:c>
      <x:c r="G1258" s="88" t="str">
        <x:f>IF(C1258="","",MIN(MAX(0,D1258+E1258-F1258),SUMIFS(SONDERZAHLUNGEN!$E$9:$E$128,SONDERZAHLUNGEN!$B$9:$B$128,C1258,SONDERZAHLUNGEN!$C$9:$C$128,A1258,SONDERZAHLUNGEN!$H$9:$H$128,"OK",SONDERZAHLUNGEN!$F$9:$F$128,"Ja")))</x:f>
      </x:c>
      <x:c r="H1258" s="88" t="str">
        <x:f>IF(C1258="","",MIN(MAX(0,D1258+E1258-F1258-G1258),MAX(0,IF(MONATSBUDGET!$C$69="",0,MONATSBUDGET!$C$69)-SUM(F1240:F1259)-SUM(H1240:H1257))))</x:f>
      </x:c>
      <x:c r="I1258" s="88" t="str">
        <x:f>IF(C1258="","",MAX(0,ROUND(D1258+E1258-F1258-G1258-H1258,2)))</x:f>
      </x:c>
      <x:c r="J1258" s="88" t="str">
        <x:f>IF(C1258="","",F1258+G1258+H1258)</x:f>
      </x:c>
      <x:c r="K1258" s="88" t="str">
        <x:f>IF(C1258="","",MAX(0,SUMIFS(SONDERZAHLUNGEN!$E$9:$E$128,SONDERZAHLUNGEN!$B$9:$B$128,C1258,SONDERZAHLUNGEN!$C$9:$C$128,A1258,SONDERZAHLUNGEN!$H$9:$H$128,"OK",SONDERZAHLUNGEN!$F$9:$F$128,"Ja")-G1258))</x:f>
      </x:c>
    </x:row>
    <x:row r="1259" ht="19" customHeight="1">
      <x:c r="A1259" s="90" t="n">
        <x:f>MONATSBUDGET!$A$69</x:f>
        <x:v>48092</x:v>
      </x:c>
      <x:c r="B1259" t="n">
        <x:f>20</x:f>
        <x:v>20</x:v>
      </x:c>
      <x:c r="C1259" t="str">
        <x:f>IF($N$28="","",$N$28)</x:f>
      </x:c>
      <x:c r="D1259" s="88" t="str">
        <x:f>IF(C1259="","",I1239)</x:f>
      </x:c>
      <x:c r="E1259" s="88" t="str">
        <x:f>IF(C1259="","",ROUND(D1259*$P$28/12,2))</x:f>
      </x:c>
      <x:c r="F1259" s="88" t="str">
        <x:f>IF(C1259="","",MIN(D1259+E1259,$Q$28))</x:f>
      </x:c>
      <x:c r="G1259" s="88" t="str">
        <x:f>IF(C1259="","",MIN(MAX(0,D1259+E1259-F1259),SUMIFS(SONDERZAHLUNGEN!$E$9:$E$128,SONDERZAHLUNGEN!$B$9:$B$128,C1259,SONDERZAHLUNGEN!$C$9:$C$128,A1259,SONDERZAHLUNGEN!$H$9:$H$128,"OK",SONDERZAHLUNGEN!$F$9:$F$128,"Ja")))</x:f>
      </x:c>
      <x:c r="H1259" s="88" t="str">
        <x:f>IF(C1259="","",MIN(MAX(0,D1259+E1259-F1259-G1259),MAX(0,IF(MONATSBUDGET!$C$69="",0,MONATSBUDGET!$C$69)-SUM(F1240:F1259)-SUM(H1240:H1258))))</x:f>
      </x:c>
      <x:c r="I1259" s="88" t="str">
        <x:f>IF(C1259="","",MAX(0,ROUND(D1259+E1259-F1259-G1259-H1259,2)))</x:f>
      </x:c>
      <x:c r="J1259" s="88" t="str">
        <x:f>IF(C1259="","",F1259+G1259+H1259)</x:f>
      </x:c>
      <x:c r="K1259" s="88" t="str">
        <x:f>IF(C1259="","",MAX(0,SUMIFS(SONDERZAHLUNGEN!$E$9:$E$128,SONDERZAHLUNGEN!$B$9:$B$128,C1259,SONDERZAHLUNGEN!$C$9:$C$128,A1259,SONDERZAHLUNGEN!$H$9:$H$128,"OK",SONDERZAHLUNGEN!$F$9:$F$128,"Ja")-G1259))</x:f>
      </x:c>
    </x:row>
    <x:row r="1260" ht="19" customHeight="1">
      <x:c r="A1260" s="90" t="n">
        <x:f>MONATSBUDGET!$A$70</x:f>
        <x:v>48122</x:v>
      </x:c>
      <x:c r="B1260" t="n">
        <x:f>1</x:f>
        <x:v>1</x:v>
      </x:c>
      <x:c r="C1260" t="str">
        <x:f>IF($N$9="","",$N$9)</x:f>
      </x:c>
      <x:c r="D1260" s="88" t="str">
        <x:f>IF(C1260="","",I1240)</x:f>
      </x:c>
      <x:c r="E1260" s="88" t="str">
        <x:f>IF(C1260="","",ROUND(D1260*$P$9/12,2))</x:f>
      </x:c>
      <x:c r="F1260" s="88" t="str">
        <x:f>IF(C1260="","",MIN(D1260+E1260,$Q$9))</x:f>
      </x:c>
      <x:c r="G1260" s="88" t="str">
        <x:f>IF(C1260="","",MIN(MAX(0,D1260+E1260-F1260),SUMIFS(SONDERZAHLUNGEN!$E$9:$E$128,SONDERZAHLUNGEN!$B$9:$B$128,C1260,SONDERZAHLUNGEN!$C$9:$C$128,A1260,SONDERZAHLUNGEN!$H$9:$H$128,"OK",SONDERZAHLUNGEN!$F$9:$F$128,"Ja")))</x:f>
      </x:c>
      <x:c r="H1260" s="88" t="str">
        <x:f>IF(C1260="","",MIN(MAX(0,D1260+E1260-F1260-G1260),MAX(0,IF(MONATSBUDGET!$C$70="",0,MONATSBUDGET!$C$70)-SUM(F1260:F1279)-0)))</x:f>
      </x:c>
      <x:c r="I1260" s="88" t="str">
        <x:f>IF(C1260="","",MAX(0,ROUND(D1260+E1260-F1260-G1260-H1260,2)))</x:f>
      </x:c>
      <x:c r="J1260" s="88" t="str">
        <x:f>IF(C1260="","",F1260+G1260+H1260)</x:f>
      </x:c>
      <x:c r="K1260" s="88" t="str">
        <x:f>IF(C1260="","",MAX(0,SUMIFS(SONDERZAHLUNGEN!$E$9:$E$128,SONDERZAHLUNGEN!$B$9:$B$128,C1260,SONDERZAHLUNGEN!$C$9:$C$128,A1260,SONDERZAHLUNGEN!$H$9:$H$128,"OK",SONDERZAHLUNGEN!$F$9:$F$128,"Ja")-G1260))</x:f>
      </x:c>
    </x:row>
    <x:row r="1261" ht="19" customHeight="1">
      <x:c r="A1261" s="90" t="n">
        <x:f>MONATSBUDGET!$A$70</x:f>
        <x:v>48122</x:v>
      </x:c>
      <x:c r="B1261" t="n">
        <x:f>2</x:f>
        <x:v>2</x:v>
      </x:c>
      <x:c r="C1261" t="str">
        <x:f>IF($N$10="","",$N$10)</x:f>
      </x:c>
      <x:c r="D1261" s="88" t="str">
        <x:f>IF(C1261="","",I1241)</x:f>
      </x:c>
      <x:c r="E1261" s="88" t="str">
        <x:f>IF(C1261="","",ROUND(D1261*$P$10/12,2))</x:f>
      </x:c>
      <x:c r="F1261" s="88" t="str">
        <x:f>IF(C1261="","",MIN(D1261+E1261,$Q$10))</x:f>
      </x:c>
      <x:c r="G1261" s="88" t="str">
        <x:f>IF(C1261="","",MIN(MAX(0,D1261+E1261-F1261),SUMIFS(SONDERZAHLUNGEN!$E$9:$E$128,SONDERZAHLUNGEN!$B$9:$B$128,C1261,SONDERZAHLUNGEN!$C$9:$C$128,A1261,SONDERZAHLUNGEN!$H$9:$H$128,"OK",SONDERZAHLUNGEN!$F$9:$F$128,"Ja")))</x:f>
      </x:c>
      <x:c r="H1261" s="88" t="str">
        <x:f>IF(C1261="","",MIN(MAX(0,D1261+E1261-F1261-G1261),MAX(0,IF(MONATSBUDGET!$C$70="",0,MONATSBUDGET!$C$70)-SUM(F1260:F1279)-SUM(H1260:H1260))))</x:f>
      </x:c>
      <x:c r="I1261" s="88" t="str">
        <x:f>IF(C1261="","",MAX(0,ROUND(D1261+E1261-F1261-G1261-H1261,2)))</x:f>
      </x:c>
      <x:c r="J1261" s="88" t="str">
        <x:f>IF(C1261="","",F1261+G1261+H1261)</x:f>
      </x:c>
      <x:c r="K1261" s="88" t="str">
        <x:f>IF(C1261="","",MAX(0,SUMIFS(SONDERZAHLUNGEN!$E$9:$E$128,SONDERZAHLUNGEN!$B$9:$B$128,C1261,SONDERZAHLUNGEN!$C$9:$C$128,A1261,SONDERZAHLUNGEN!$H$9:$H$128,"OK",SONDERZAHLUNGEN!$F$9:$F$128,"Ja")-G1261))</x:f>
      </x:c>
    </x:row>
    <x:row r="1262" ht="19" customHeight="1">
      <x:c r="A1262" s="90" t="n">
        <x:f>MONATSBUDGET!$A$70</x:f>
        <x:v>48122</x:v>
      </x:c>
      <x:c r="B1262" t="n">
        <x:f>3</x:f>
        <x:v>3</x:v>
      </x:c>
      <x:c r="C1262" t="str">
        <x:f>IF($N$11="","",$N$11)</x:f>
      </x:c>
      <x:c r="D1262" s="88" t="str">
        <x:f>IF(C1262="","",I1242)</x:f>
      </x:c>
      <x:c r="E1262" s="88" t="str">
        <x:f>IF(C1262="","",ROUND(D1262*$P$11/12,2))</x:f>
      </x:c>
      <x:c r="F1262" s="88" t="str">
        <x:f>IF(C1262="","",MIN(D1262+E1262,$Q$11))</x:f>
      </x:c>
      <x:c r="G1262" s="88" t="str">
        <x:f>IF(C1262="","",MIN(MAX(0,D1262+E1262-F1262),SUMIFS(SONDERZAHLUNGEN!$E$9:$E$128,SONDERZAHLUNGEN!$B$9:$B$128,C1262,SONDERZAHLUNGEN!$C$9:$C$128,A1262,SONDERZAHLUNGEN!$H$9:$H$128,"OK",SONDERZAHLUNGEN!$F$9:$F$128,"Ja")))</x:f>
      </x:c>
      <x:c r="H1262" s="88" t="str">
        <x:f>IF(C1262="","",MIN(MAX(0,D1262+E1262-F1262-G1262),MAX(0,IF(MONATSBUDGET!$C$70="",0,MONATSBUDGET!$C$70)-SUM(F1260:F1279)-SUM(H1260:H1261))))</x:f>
      </x:c>
      <x:c r="I1262" s="88" t="str">
        <x:f>IF(C1262="","",MAX(0,ROUND(D1262+E1262-F1262-G1262-H1262,2)))</x:f>
      </x:c>
      <x:c r="J1262" s="88" t="str">
        <x:f>IF(C1262="","",F1262+G1262+H1262)</x:f>
      </x:c>
      <x:c r="K1262" s="88" t="str">
        <x:f>IF(C1262="","",MAX(0,SUMIFS(SONDERZAHLUNGEN!$E$9:$E$128,SONDERZAHLUNGEN!$B$9:$B$128,C1262,SONDERZAHLUNGEN!$C$9:$C$128,A1262,SONDERZAHLUNGEN!$H$9:$H$128,"OK",SONDERZAHLUNGEN!$F$9:$F$128,"Ja")-G1262))</x:f>
      </x:c>
    </x:row>
    <x:row r="1263" ht="19" customHeight="1">
      <x:c r="A1263" s="90" t="n">
        <x:f>MONATSBUDGET!$A$70</x:f>
        <x:v>48122</x:v>
      </x:c>
      <x:c r="B1263" t="n">
        <x:f>4</x:f>
        <x:v>4</x:v>
      </x:c>
      <x:c r="C1263" t="str">
        <x:f>IF($N$12="","",$N$12)</x:f>
      </x:c>
      <x:c r="D1263" s="88" t="str">
        <x:f>IF(C1263="","",I1243)</x:f>
      </x:c>
      <x:c r="E1263" s="88" t="str">
        <x:f>IF(C1263="","",ROUND(D1263*$P$12/12,2))</x:f>
      </x:c>
      <x:c r="F1263" s="88" t="str">
        <x:f>IF(C1263="","",MIN(D1263+E1263,$Q$12))</x:f>
      </x:c>
      <x:c r="G1263" s="88" t="str">
        <x:f>IF(C1263="","",MIN(MAX(0,D1263+E1263-F1263),SUMIFS(SONDERZAHLUNGEN!$E$9:$E$128,SONDERZAHLUNGEN!$B$9:$B$128,C1263,SONDERZAHLUNGEN!$C$9:$C$128,A1263,SONDERZAHLUNGEN!$H$9:$H$128,"OK",SONDERZAHLUNGEN!$F$9:$F$128,"Ja")))</x:f>
      </x:c>
      <x:c r="H1263" s="88" t="str">
        <x:f>IF(C1263="","",MIN(MAX(0,D1263+E1263-F1263-G1263),MAX(0,IF(MONATSBUDGET!$C$70="",0,MONATSBUDGET!$C$70)-SUM(F1260:F1279)-SUM(H1260:H1262))))</x:f>
      </x:c>
      <x:c r="I1263" s="88" t="str">
        <x:f>IF(C1263="","",MAX(0,ROUND(D1263+E1263-F1263-G1263-H1263,2)))</x:f>
      </x:c>
      <x:c r="J1263" s="88" t="str">
        <x:f>IF(C1263="","",F1263+G1263+H1263)</x:f>
      </x:c>
      <x:c r="K1263" s="88" t="str">
        <x:f>IF(C1263="","",MAX(0,SUMIFS(SONDERZAHLUNGEN!$E$9:$E$128,SONDERZAHLUNGEN!$B$9:$B$128,C1263,SONDERZAHLUNGEN!$C$9:$C$128,A1263,SONDERZAHLUNGEN!$H$9:$H$128,"OK",SONDERZAHLUNGEN!$F$9:$F$128,"Ja")-G1263))</x:f>
      </x:c>
    </x:row>
    <x:row r="1264" ht="19" customHeight="1">
      <x:c r="A1264" s="90" t="n">
        <x:f>MONATSBUDGET!$A$70</x:f>
        <x:v>48122</x:v>
      </x:c>
      <x:c r="B1264" t="n">
        <x:f>5</x:f>
        <x:v>5</x:v>
      </x:c>
      <x:c r="C1264" t="str">
        <x:f>IF($N$13="","",$N$13)</x:f>
      </x:c>
      <x:c r="D1264" s="88" t="str">
        <x:f>IF(C1264="","",I1244)</x:f>
      </x:c>
      <x:c r="E1264" s="88" t="str">
        <x:f>IF(C1264="","",ROUND(D1264*$P$13/12,2))</x:f>
      </x:c>
      <x:c r="F1264" s="88" t="str">
        <x:f>IF(C1264="","",MIN(D1264+E1264,$Q$13))</x:f>
      </x:c>
      <x:c r="G1264" s="88" t="str">
        <x:f>IF(C1264="","",MIN(MAX(0,D1264+E1264-F1264),SUMIFS(SONDERZAHLUNGEN!$E$9:$E$128,SONDERZAHLUNGEN!$B$9:$B$128,C1264,SONDERZAHLUNGEN!$C$9:$C$128,A1264,SONDERZAHLUNGEN!$H$9:$H$128,"OK",SONDERZAHLUNGEN!$F$9:$F$128,"Ja")))</x:f>
      </x:c>
      <x:c r="H1264" s="88" t="str">
        <x:f>IF(C1264="","",MIN(MAX(0,D1264+E1264-F1264-G1264),MAX(0,IF(MONATSBUDGET!$C$70="",0,MONATSBUDGET!$C$70)-SUM(F1260:F1279)-SUM(H1260:H1263))))</x:f>
      </x:c>
      <x:c r="I1264" s="88" t="str">
        <x:f>IF(C1264="","",MAX(0,ROUND(D1264+E1264-F1264-G1264-H1264,2)))</x:f>
      </x:c>
      <x:c r="J1264" s="88" t="str">
        <x:f>IF(C1264="","",F1264+G1264+H1264)</x:f>
      </x:c>
      <x:c r="K1264" s="88" t="str">
        <x:f>IF(C1264="","",MAX(0,SUMIFS(SONDERZAHLUNGEN!$E$9:$E$128,SONDERZAHLUNGEN!$B$9:$B$128,C1264,SONDERZAHLUNGEN!$C$9:$C$128,A1264,SONDERZAHLUNGEN!$H$9:$H$128,"OK",SONDERZAHLUNGEN!$F$9:$F$128,"Ja")-G1264))</x:f>
      </x:c>
    </x:row>
    <x:row r="1265" ht="19" customHeight="1">
      <x:c r="A1265" s="90" t="n">
        <x:f>MONATSBUDGET!$A$70</x:f>
        <x:v>48122</x:v>
      </x:c>
      <x:c r="B1265" t="n">
        <x:f>6</x:f>
        <x:v>6</x:v>
      </x:c>
      <x:c r="C1265" t="str">
        <x:f>IF($N$14="","",$N$14)</x:f>
      </x:c>
      <x:c r="D1265" s="88" t="str">
        <x:f>IF(C1265="","",I1245)</x:f>
      </x:c>
      <x:c r="E1265" s="88" t="str">
        <x:f>IF(C1265="","",ROUND(D1265*$P$14/12,2))</x:f>
      </x:c>
      <x:c r="F1265" s="88" t="str">
        <x:f>IF(C1265="","",MIN(D1265+E1265,$Q$14))</x:f>
      </x:c>
      <x:c r="G1265" s="88" t="str">
        <x:f>IF(C1265="","",MIN(MAX(0,D1265+E1265-F1265),SUMIFS(SONDERZAHLUNGEN!$E$9:$E$128,SONDERZAHLUNGEN!$B$9:$B$128,C1265,SONDERZAHLUNGEN!$C$9:$C$128,A1265,SONDERZAHLUNGEN!$H$9:$H$128,"OK",SONDERZAHLUNGEN!$F$9:$F$128,"Ja")))</x:f>
      </x:c>
      <x:c r="H1265" s="88" t="str">
        <x:f>IF(C1265="","",MIN(MAX(0,D1265+E1265-F1265-G1265),MAX(0,IF(MONATSBUDGET!$C$70="",0,MONATSBUDGET!$C$70)-SUM(F1260:F1279)-SUM(H1260:H1264))))</x:f>
      </x:c>
      <x:c r="I1265" s="88" t="str">
        <x:f>IF(C1265="","",MAX(0,ROUND(D1265+E1265-F1265-G1265-H1265,2)))</x:f>
      </x:c>
      <x:c r="J1265" s="88" t="str">
        <x:f>IF(C1265="","",F1265+G1265+H1265)</x:f>
      </x:c>
      <x:c r="K1265" s="88" t="str">
        <x:f>IF(C1265="","",MAX(0,SUMIFS(SONDERZAHLUNGEN!$E$9:$E$128,SONDERZAHLUNGEN!$B$9:$B$128,C1265,SONDERZAHLUNGEN!$C$9:$C$128,A1265,SONDERZAHLUNGEN!$H$9:$H$128,"OK",SONDERZAHLUNGEN!$F$9:$F$128,"Ja")-G1265))</x:f>
      </x:c>
    </x:row>
    <x:row r="1266" ht="19" customHeight="1">
      <x:c r="A1266" s="90" t="n">
        <x:f>MONATSBUDGET!$A$70</x:f>
        <x:v>48122</x:v>
      </x:c>
      <x:c r="B1266" t="n">
        <x:f>7</x:f>
        <x:v>7</x:v>
      </x:c>
      <x:c r="C1266" t="str">
        <x:f>IF($N$15="","",$N$15)</x:f>
      </x:c>
      <x:c r="D1266" s="88" t="str">
        <x:f>IF(C1266="","",I1246)</x:f>
      </x:c>
      <x:c r="E1266" s="88" t="str">
        <x:f>IF(C1266="","",ROUND(D1266*$P$15/12,2))</x:f>
      </x:c>
      <x:c r="F1266" s="88" t="str">
        <x:f>IF(C1266="","",MIN(D1266+E1266,$Q$15))</x:f>
      </x:c>
      <x:c r="G1266" s="88" t="str">
        <x:f>IF(C1266="","",MIN(MAX(0,D1266+E1266-F1266),SUMIFS(SONDERZAHLUNGEN!$E$9:$E$128,SONDERZAHLUNGEN!$B$9:$B$128,C1266,SONDERZAHLUNGEN!$C$9:$C$128,A1266,SONDERZAHLUNGEN!$H$9:$H$128,"OK",SONDERZAHLUNGEN!$F$9:$F$128,"Ja")))</x:f>
      </x:c>
      <x:c r="H1266" s="88" t="str">
        <x:f>IF(C1266="","",MIN(MAX(0,D1266+E1266-F1266-G1266),MAX(0,IF(MONATSBUDGET!$C$70="",0,MONATSBUDGET!$C$70)-SUM(F1260:F1279)-SUM(H1260:H1265))))</x:f>
      </x:c>
      <x:c r="I1266" s="88" t="str">
        <x:f>IF(C1266="","",MAX(0,ROUND(D1266+E1266-F1266-G1266-H1266,2)))</x:f>
      </x:c>
      <x:c r="J1266" s="88" t="str">
        <x:f>IF(C1266="","",F1266+G1266+H1266)</x:f>
      </x:c>
      <x:c r="K1266" s="88" t="str">
        <x:f>IF(C1266="","",MAX(0,SUMIFS(SONDERZAHLUNGEN!$E$9:$E$128,SONDERZAHLUNGEN!$B$9:$B$128,C1266,SONDERZAHLUNGEN!$C$9:$C$128,A1266,SONDERZAHLUNGEN!$H$9:$H$128,"OK",SONDERZAHLUNGEN!$F$9:$F$128,"Ja")-G1266))</x:f>
      </x:c>
    </x:row>
    <x:row r="1267" ht="19" customHeight="1">
      <x:c r="A1267" s="90" t="n">
        <x:f>MONATSBUDGET!$A$70</x:f>
        <x:v>48122</x:v>
      </x:c>
      <x:c r="B1267" t="n">
        <x:f>8</x:f>
        <x:v>8</x:v>
      </x:c>
      <x:c r="C1267" t="str">
        <x:f>IF($N$16="","",$N$16)</x:f>
      </x:c>
      <x:c r="D1267" s="88" t="str">
        <x:f>IF(C1267="","",I1247)</x:f>
      </x:c>
      <x:c r="E1267" s="88" t="str">
        <x:f>IF(C1267="","",ROUND(D1267*$P$16/12,2))</x:f>
      </x:c>
      <x:c r="F1267" s="88" t="str">
        <x:f>IF(C1267="","",MIN(D1267+E1267,$Q$16))</x:f>
      </x:c>
      <x:c r="G1267" s="88" t="str">
        <x:f>IF(C1267="","",MIN(MAX(0,D1267+E1267-F1267),SUMIFS(SONDERZAHLUNGEN!$E$9:$E$128,SONDERZAHLUNGEN!$B$9:$B$128,C1267,SONDERZAHLUNGEN!$C$9:$C$128,A1267,SONDERZAHLUNGEN!$H$9:$H$128,"OK",SONDERZAHLUNGEN!$F$9:$F$128,"Ja")))</x:f>
      </x:c>
      <x:c r="H1267" s="88" t="str">
        <x:f>IF(C1267="","",MIN(MAX(0,D1267+E1267-F1267-G1267),MAX(0,IF(MONATSBUDGET!$C$70="",0,MONATSBUDGET!$C$70)-SUM(F1260:F1279)-SUM(H1260:H1266))))</x:f>
      </x:c>
      <x:c r="I1267" s="88" t="str">
        <x:f>IF(C1267="","",MAX(0,ROUND(D1267+E1267-F1267-G1267-H1267,2)))</x:f>
      </x:c>
      <x:c r="J1267" s="88" t="str">
        <x:f>IF(C1267="","",F1267+G1267+H1267)</x:f>
      </x:c>
      <x:c r="K1267" s="88" t="str">
        <x:f>IF(C1267="","",MAX(0,SUMIFS(SONDERZAHLUNGEN!$E$9:$E$128,SONDERZAHLUNGEN!$B$9:$B$128,C1267,SONDERZAHLUNGEN!$C$9:$C$128,A1267,SONDERZAHLUNGEN!$H$9:$H$128,"OK",SONDERZAHLUNGEN!$F$9:$F$128,"Ja")-G1267))</x:f>
      </x:c>
    </x:row>
    <x:row r="1268" ht="19" customHeight="1">
      <x:c r="A1268" s="90" t="n">
        <x:f>MONATSBUDGET!$A$70</x:f>
        <x:v>48122</x:v>
      </x:c>
      <x:c r="B1268" t="n">
        <x:f>9</x:f>
        <x:v>9</x:v>
      </x:c>
      <x:c r="C1268" t="str">
        <x:f>IF($N$17="","",$N$17)</x:f>
      </x:c>
      <x:c r="D1268" s="88" t="str">
        <x:f>IF(C1268="","",I1248)</x:f>
      </x:c>
      <x:c r="E1268" s="88" t="str">
        <x:f>IF(C1268="","",ROUND(D1268*$P$17/12,2))</x:f>
      </x:c>
      <x:c r="F1268" s="88" t="str">
        <x:f>IF(C1268="","",MIN(D1268+E1268,$Q$17))</x:f>
      </x:c>
      <x:c r="G1268" s="88" t="str">
        <x:f>IF(C1268="","",MIN(MAX(0,D1268+E1268-F1268),SUMIFS(SONDERZAHLUNGEN!$E$9:$E$128,SONDERZAHLUNGEN!$B$9:$B$128,C1268,SONDERZAHLUNGEN!$C$9:$C$128,A1268,SONDERZAHLUNGEN!$H$9:$H$128,"OK",SONDERZAHLUNGEN!$F$9:$F$128,"Ja")))</x:f>
      </x:c>
      <x:c r="H1268" s="88" t="str">
        <x:f>IF(C1268="","",MIN(MAX(0,D1268+E1268-F1268-G1268),MAX(0,IF(MONATSBUDGET!$C$70="",0,MONATSBUDGET!$C$70)-SUM(F1260:F1279)-SUM(H1260:H1267))))</x:f>
      </x:c>
      <x:c r="I1268" s="88" t="str">
        <x:f>IF(C1268="","",MAX(0,ROUND(D1268+E1268-F1268-G1268-H1268,2)))</x:f>
      </x:c>
      <x:c r="J1268" s="88" t="str">
        <x:f>IF(C1268="","",F1268+G1268+H1268)</x:f>
      </x:c>
      <x:c r="K1268" s="88" t="str">
        <x:f>IF(C1268="","",MAX(0,SUMIFS(SONDERZAHLUNGEN!$E$9:$E$128,SONDERZAHLUNGEN!$B$9:$B$128,C1268,SONDERZAHLUNGEN!$C$9:$C$128,A1268,SONDERZAHLUNGEN!$H$9:$H$128,"OK",SONDERZAHLUNGEN!$F$9:$F$128,"Ja")-G1268))</x:f>
      </x:c>
    </x:row>
    <x:row r="1269" ht="19" customHeight="1">
      <x:c r="A1269" s="90" t="n">
        <x:f>MONATSBUDGET!$A$70</x:f>
        <x:v>48122</x:v>
      </x:c>
      <x:c r="B1269" t="n">
        <x:f>10</x:f>
        <x:v>10</x:v>
      </x:c>
      <x:c r="C1269" t="str">
        <x:f>IF($N$18="","",$N$18)</x:f>
      </x:c>
      <x:c r="D1269" s="88" t="str">
        <x:f>IF(C1269="","",I1249)</x:f>
      </x:c>
      <x:c r="E1269" s="88" t="str">
        <x:f>IF(C1269="","",ROUND(D1269*$P$18/12,2))</x:f>
      </x:c>
      <x:c r="F1269" s="88" t="str">
        <x:f>IF(C1269="","",MIN(D1269+E1269,$Q$18))</x:f>
      </x:c>
      <x:c r="G1269" s="88" t="str">
        <x:f>IF(C1269="","",MIN(MAX(0,D1269+E1269-F1269),SUMIFS(SONDERZAHLUNGEN!$E$9:$E$128,SONDERZAHLUNGEN!$B$9:$B$128,C1269,SONDERZAHLUNGEN!$C$9:$C$128,A1269,SONDERZAHLUNGEN!$H$9:$H$128,"OK",SONDERZAHLUNGEN!$F$9:$F$128,"Ja")))</x:f>
      </x:c>
      <x:c r="H1269" s="88" t="str">
        <x:f>IF(C1269="","",MIN(MAX(0,D1269+E1269-F1269-G1269),MAX(0,IF(MONATSBUDGET!$C$70="",0,MONATSBUDGET!$C$70)-SUM(F1260:F1279)-SUM(H1260:H1268))))</x:f>
      </x:c>
      <x:c r="I1269" s="88" t="str">
        <x:f>IF(C1269="","",MAX(0,ROUND(D1269+E1269-F1269-G1269-H1269,2)))</x:f>
      </x:c>
      <x:c r="J1269" s="88" t="str">
        <x:f>IF(C1269="","",F1269+G1269+H1269)</x:f>
      </x:c>
      <x:c r="K1269" s="88" t="str">
        <x:f>IF(C1269="","",MAX(0,SUMIFS(SONDERZAHLUNGEN!$E$9:$E$128,SONDERZAHLUNGEN!$B$9:$B$128,C1269,SONDERZAHLUNGEN!$C$9:$C$128,A1269,SONDERZAHLUNGEN!$H$9:$H$128,"OK",SONDERZAHLUNGEN!$F$9:$F$128,"Ja")-G1269))</x:f>
      </x:c>
    </x:row>
    <x:row r="1270" ht="19" customHeight="1">
      <x:c r="A1270" s="90" t="n">
        <x:f>MONATSBUDGET!$A$70</x:f>
        <x:v>48122</x:v>
      </x:c>
      <x:c r="B1270" t="n">
        <x:f>11</x:f>
        <x:v>11</x:v>
      </x:c>
      <x:c r="C1270" t="str">
        <x:f>IF($N$19="","",$N$19)</x:f>
      </x:c>
      <x:c r="D1270" s="88" t="str">
        <x:f>IF(C1270="","",I1250)</x:f>
      </x:c>
      <x:c r="E1270" s="88" t="str">
        <x:f>IF(C1270="","",ROUND(D1270*$P$19/12,2))</x:f>
      </x:c>
      <x:c r="F1270" s="88" t="str">
        <x:f>IF(C1270="","",MIN(D1270+E1270,$Q$19))</x:f>
      </x:c>
      <x:c r="G1270" s="88" t="str">
        <x:f>IF(C1270="","",MIN(MAX(0,D1270+E1270-F1270),SUMIFS(SONDERZAHLUNGEN!$E$9:$E$128,SONDERZAHLUNGEN!$B$9:$B$128,C1270,SONDERZAHLUNGEN!$C$9:$C$128,A1270,SONDERZAHLUNGEN!$H$9:$H$128,"OK",SONDERZAHLUNGEN!$F$9:$F$128,"Ja")))</x:f>
      </x:c>
      <x:c r="H1270" s="88" t="str">
        <x:f>IF(C1270="","",MIN(MAX(0,D1270+E1270-F1270-G1270),MAX(0,IF(MONATSBUDGET!$C$70="",0,MONATSBUDGET!$C$70)-SUM(F1260:F1279)-SUM(H1260:H1269))))</x:f>
      </x:c>
      <x:c r="I1270" s="88" t="str">
        <x:f>IF(C1270="","",MAX(0,ROUND(D1270+E1270-F1270-G1270-H1270,2)))</x:f>
      </x:c>
      <x:c r="J1270" s="88" t="str">
        <x:f>IF(C1270="","",F1270+G1270+H1270)</x:f>
      </x:c>
      <x:c r="K1270" s="88" t="str">
        <x:f>IF(C1270="","",MAX(0,SUMIFS(SONDERZAHLUNGEN!$E$9:$E$128,SONDERZAHLUNGEN!$B$9:$B$128,C1270,SONDERZAHLUNGEN!$C$9:$C$128,A1270,SONDERZAHLUNGEN!$H$9:$H$128,"OK",SONDERZAHLUNGEN!$F$9:$F$128,"Ja")-G1270))</x:f>
      </x:c>
    </x:row>
    <x:row r="1271" ht="19" customHeight="1">
      <x:c r="A1271" s="90" t="n">
        <x:f>MONATSBUDGET!$A$70</x:f>
        <x:v>48122</x:v>
      </x:c>
      <x:c r="B1271" t="n">
        <x:f>12</x:f>
        <x:v>12</x:v>
      </x:c>
      <x:c r="C1271" t="str">
        <x:f>IF($N$20="","",$N$20)</x:f>
      </x:c>
      <x:c r="D1271" s="88" t="str">
        <x:f>IF(C1271="","",I1251)</x:f>
      </x:c>
      <x:c r="E1271" s="88" t="str">
        <x:f>IF(C1271="","",ROUND(D1271*$P$20/12,2))</x:f>
      </x:c>
      <x:c r="F1271" s="88" t="str">
        <x:f>IF(C1271="","",MIN(D1271+E1271,$Q$20))</x:f>
      </x:c>
      <x:c r="G1271" s="88" t="str">
        <x:f>IF(C1271="","",MIN(MAX(0,D1271+E1271-F1271),SUMIFS(SONDERZAHLUNGEN!$E$9:$E$128,SONDERZAHLUNGEN!$B$9:$B$128,C1271,SONDERZAHLUNGEN!$C$9:$C$128,A1271,SONDERZAHLUNGEN!$H$9:$H$128,"OK",SONDERZAHLUNGEN!$F$9:$F$128,"Ja")))</x:f>
      </x:c>
      <x:c r="H1271" s="88" t="str">
        <x:f>IF(C1271="","",MIN(MAX(0,D1271+E1271-F1271-G1271),MAX(0,IF(MONATSBUDGET!$C$70="",0,MONATSBUDGET!$C$70)-SUM(F1260:F1279)-SUM(H1260:H1270))))</x:f>
      </x:c>
      <x:c r="I1271" s="88" t="str">
        <x:f>IF(C1271="","",MAX(0,ROUND(D1271+E1271-F1271-G1271-H1271,2)))</x:f>
      </x:c>
      <x:c r="J1271" s="88" t="str">
        <x:f>IF(C1271="","",F1271+G1271+H1271)</x:f>
      </x:c>
      <x:c r="K1271" s="88" t="str">
        <x:f>IF(C1271="","",MAX(0,SUMIFS(SONDERZAHLUNGEN!$E$9:$E$128,SONDERZAHLUNGEN!$B$9:$B$128,C1271,SONDERZAHLUNGEN!$C$9:$C$128,A1271,SONDERZAHLUNGEN!$H$9:$H$128,"OK",SONDERZAHLUNGEN!$F$9:$F$128,"Ja")-G1271))</x:f>
      </x:c>
    </x:row>
    <x:row r="1272" ht="19" customHeight="1">
      <x:c r="A1272" s="90" t="n">
        <x:f>MONATSBUDGET!$A$70</x:f>
        <x:v>48122</x:v>
      </x:c>
      <x:c r="B1272" t="n">
        <x:f>13</x:f>
        <x:v>13</x:v>
      </x:c>
      <x:c r="C1272" t="str">
        <x:f>IF($N$21="","",$N$21)</x:f>
      </x:c>
      <x:c r="D1272" s="88" t="str">
        <x:f>IF(C1272="","",I1252)</x:f>
      </x:c>
      <x:c r="E1272" s="88" t="str">
        <x:f>IF(C1272="","",ROUND(D1272*$P$21/12,2))</x:f>
      </x:c>
      <x:c r="F1272" s="88" t="str">
        <x:f>IF(C1272="","",MIN(D1272+E1272,$Q$21))</x:f>
      </x:c>
      <x:c r="G1272" s="88" t="str">
        <x:f>IF(C1272="","",MIN(MAX(0,D1272+E1272-F1272),SUMIFS(SONDERZAHLUNGEN!$E$9:$E$128,SONDERZAHLUNGEN!$B$9:$B$128,C1272,SONDERZAHLUNGEN!$C$9:$C$128,A1272,SONDERZAHLUNGEN!$H$9:$H$128,"OK",SONDERZAHLUNGEN!$F$9:$F$128,"Ja")))</x:f>
      </x:c>
      <x:c r="H1272" s="88" t="str">
        <x:f>IF(C1272="","",MIN(MAX(0,D1272+E1272-F1272-G1272),MAX(0,IF(MONATSBUDGET!$C$70="",0,MONATSBUDGET!$C$70)-SUM(F1260:F1279)-SUM(H1260:H1271))))</x:f>
      </x:c>
      <x:c r="I1272" s="88" t="str">
        <x:f>IF(C1272="","",MAX(0,ROUND(D1272+E1272-F1272-G1272-H1272,2)))</x:f>
      </x:c>
      <x:c r="J1272" s="88" t="str">
        <x:f>IF(C1272="","",F1272+G1272+H1272)</x:f>
      </x:c>
      <x:c r="K1272" s="88" t="str">
        <x:f>IF(C1272="","",MAX(0,SUMIFS(SONDERZAHLUNGEN!$E$9:$E$128,SONDERZAHLUNGEN!$B$9:$B$128,C1272,SONDERZAHLUNGEN!$C$9:$C$128,A1272,SONDERZAHLUNGEN!$H$9:$H$128,"OK",SONDERZAHLUNGEN!$F$9:$F$128,"Ja")-G1272))</x:f>
      </x:c>
    </x:row>
    <x:row r="1273" ht="19" customHeight="1">
      <x:c r="A1273" s="90" t="n">
        <x:f>MONATSBUDGET!$A$70</x:f>
        <x:v>48122</x:v>
      </x:c>
      <x:c r="B1273" t="n">
        <x:f>14</x:f>
        <x:v>14</x:v>
      </x:c>
      <x:c r="C1273" t="str">
        <x:f>IF($N$22="","",$N$22)</x:f>
      </x:c>
      <x:c r="D1273" s="88" t="str">
        <x:f>IF(C1273="","",I1253)</x:f>
      </x:c>
      <x:c r="E1273" s="88" t="str">
        <x:f>IF(C1273="","",ROUND(D1273*$P$22/12,2))</x:f>
      </x:c>
      <x:c r="F1273" s="88" t="str">
        <x:f>IF(C1273="","",MIN(D1273+E1273,$Q$22))</x:f>
      </x:c>
      <x:c r="G1273" s="88" t="str">
        <x:f>IF(C1273="","",MIN(MAX(0,D1273+E1273-F1273),SUMIFS(SONDERZAHLUNGEN!$E$9:$E$128,SONDERZAHLUNGEN!$B$9:$B$128,C1273,SONDERZAHLUNGEN!$C$9:$C$128,A1273,SONDERZAHLUNGEN!$H$9:$H$128,"OK",SONDERZAHLUNGEN!$F$9:$F$128,"Ja")))</x:f>
      </x:c>
      <x:c r="H1273" s="88" t="str">
        <x:f>IF(C1273="","",MIN(MAX(0,D1273+E1273-F1273-G1273),MAX(0,IF(MONATSBUDGET!$C$70="",0,MONATSBUDGET!$C$70)-SUM(F1260:F1279)-SUM(H1260:H1272))))</x:f>
      </x:c>
      <x:c r="I1273" s="88" t="str">
        <x:f>IF(C1273="","",MAX(0,ROUND(D1273+E1273-F1273-G1273-H1273,2)))</x:f>
      </x:c>
      <x:c r="J1273" s="88" t="str">
        <x:f>IF(C1273="","",F1273+G1273+H1273)</x:f>
      </x:c>
      <x:c r="K1273" s="88" t="str">
        <x:f>IF(C1273="","",MAX(0,SUMIFS(SONDERZAHLUNGEN!$E$9:$E$128,SONDERZAHLUNGEN!$B$9:$B$128,C1273,SONDERZAHLUNGEN!$C$9:$C$128,A1273,SONDERZAHLUNGEN!$H$9:$H$128,"OK",SONDERZAHLUNGEN!$F$9:$F$128,"Ja")-G1273))</x:f>
      </x:c>
    </x:row>
    <x:row r="1274" ht="19" customHeight="1">
      <x:c r="A1274" s="90" t="n">
        <x:f>MONATSBUDGET!$A$70</x:f>
        <x:v>48122</x:v>
      </x:c>
      <x:c r="B1274" t="n">
        <x:f>15</x:f>
        <x:v>15</x:v>
      </x:c>
      <x:c r="C1274" t="str">
        <x:f>IF($N$23="","",$N$23)</x:f>
      </x:c>
      <x:c r="D1274" s="88" t="str">
        <x:f>IF(C1274="","",I1254)</x:f>
      </x:c>
      <x:c r="E1274" s="88" t="str">
        <x:f>IF(C1274="","",ROUND(D1274*$P$23/12,2))</x:f>
      </x:c>
      <x:c r="F1274" s="88" t="str">
        <x:f>IF(C1274="","",MIN(D1274+E1274,$Q$23))</x:f>
      </x:c>
      <x:c r="G1274" s="88" t="str">
        <x:f>IF(C1274="","",MIN(MAX(0,D1274+E1274-F1274),SUMIFS(SONDERZAHLUNGEN!$E$9:$E$128,SONDERZAHLUNGEN!$B$9:$B$128,C1274,SONDERZAHLUNGEN!$C$9:$C$128,A1274,SONDERZAHLUNGEN!$H$9:$H$128,"OK",SONDERZAHLUNGEN!$F$9:$F$128,"Ja")))</x:f>
      </x:c>
      <x:c r="H1274" s="88" t="str">
        <x:f>IF(C1274="","",MIN(MAX(0,D1274+E1274-F1274-G1274),MAX(0,IF(MONATSBUDGET!$C$70="",0,MONATSBUDGET!$C$70)-SUM(F1260:F1279)-SUM(H1260:H1273))))</x:f>
      </x:c>
      <x:c r="I1274" s="88" t="str">
        <x:f>IF(C1274="","",MAX(0,ROUND(D1274+E1274-F1274-G1274-H1274,2)))</x:f>
      </x:c>
      <x:c r="J1274" s="88" t="str">
        <x:f>IF(C1274="","",F1274+G1274+H1274)</x:f>
      </x:c>
      <x:c r="K1274" s="88" t="str">
        <x:f>IF(C1274="","",MAX(0,SUMIFS(SONDERZAHLUNGEN!$E$9:$E$128,SONDERZAHLUNGEN!$B$9:$B$128,C1274,SONDERZAHLUNGEN!$C$9:$C$128,A1274,SONDERZAHLUNGEN!$H$9:$H$128,"OK",SONDERZAHLUNGEN!$F$9:$F$128,"Ja")-G1274))</x:f>
      </x:c>
    </x:row>
    <x:row r="1275" ht="19" customHeight="1">
      <x:c r="A1275" s="90" t="n">
        <x:f>MONATSBUDGET!$A$70</x:f>
        <x:v>48122</x:v>
      </x:c>
      <x:c r="B1275" t="n">
        <x:f>16</x:f>
        <x:v>16</x:v>
      </x:c>
      <x:c r="C1275" t="str">
        <x:f>IF($N$24="","",$N$24)</x:f>
      </x:c>
      <x:c r="D1275" s="88" t="str">
        <x:f>IF(C1275="","",I1255)</x:f>
      </x:c>
      <x:c r="E1275" s="88" t="str">
        <x:f>IF(C1275="","",ROUND(D1275*$P$24/12,2))</x:f>
      </x:c>
      <x:c r="F1275" s="88" t="str">
        <x:f>IF(C1275="","",MIN(D1275+E1275,$Q$24))</x:f>
      </x:c>
      <x:c r="G1275" s="88" t="str">
        <x:f>IF(C1275="","",MIN(MAX(0,D1275+E1275-F1275),SUMIFS(SONDERZAHLUNGEN!$E$9:$E$128,SONDERZAHLUNGEN!$B$9:$B$128,C1275,SONDERZAHLUNGEN!$C$9:$C$128,A1275,SONDERZAHLUNGEN!$H$9:$H$128,"OK",SONDERZAHLUNGEN!$F$9:$F$128,"Ja")))</x:f>
      </x:c>
      <x:c r="H1275" s="88" t="str">
        <x:f>IF(C1275="","",MIN(MAX(0,D1275+E1275-F1275-G1275),MAX(0,IF(MONATSBUDGET!$C$70="",0,MONATSBUDGET!$C$70)-SUM(F1260:F1279)-SUM(H1260:H1274))))</x:f>
      </x:c>
      <x:c r="I1275" s="88" t="str">
        <x:f>IF(C1275="","",MAX(0,ROUND(D1275+E1275-F1275-G1275-H1275,2)))</x:f>
      </x:c>
      <x:c r="J1275" s="88" t="str">
        <x:f>IF(C1275="","",F1275+G1275+H1275)</x:f>
      </x:c>
      <x:c r="K1275" s="88" t="str">
        <x:f>IF(C1275="","",MAX(0,SUMIFS(SONDERZAHLUNGEN!$E$9:$E$128,SONDERZAHLUNGEN!$B$9:$B$128,C1275,SONDERZAHLUNGEN!$C$9:$C$128,A1275,SONDERZAHLUNGEN!$H$9:$H$128,"OK",SONDERZAHLUNGEN!$F$9:$F$128,"Ja")-G1275))</x:f>
      </x:c>
    </x:row>
    <x:row r="1276" ht="19" customHeight="1">
      <x:c r="A1276" s="90" t="n">
        <x:f>MONATSBUDGET!$A$70</x:f>
        <x:v>48122</x:v>
      </x:c>
      <x:c r="B1276" t="n">
        <x:f>17</x:f>
        <x:v>17</x:v>
      </x:c>
      <x:c r="C1276" t="str">
        <x:f>IF($N$25="","",$N$25)</x:f>
      </x:c>
      <x:c r="D1276" s="88" t="str">
        <x:f>IF(C1276="","",I1256)</x:f>
      </x:c>
      <x:c r="E1276" s="88" t="str">
        <x:f>IF(C1276="","",ROUND(D1276*$P$25/12,2))</x:f>
      </x:c>
      <x:c r="F1276" s="88" t="str">
        <x:f>IF(C1276="","",MIN(D1276+E1276,$Q$25))</x:f>
      </x:c>
      <x:c r="G1276" s="88" t="str">
        <x:f>IF(C1276="","",MIN(MAX(0,D1276+E1276-F1276),SUMIFS(SONDERZAHLUNGEN!$E$9:$E$128,SONDERZAHLUNGEN!$B$9:$B$128,C1276,SONDERZAHLUNGEN!$C$9:$C$128,A1276,SONDERZAHLUNGEN!$H$9:$H$128,"OK",SONDERZAHLUNGEN!$F$9:$F$128,"Ja")))</x:f>
      </x:c>
      <x:c r="H1276" s="88" t="str">
        <x:f>IF(C1276="","",MIN(MAX(0,D1276+E1276-F1276-G1276),MAX(0,IF(MONATSBUDGET!$C$70="",0,MONATSBUDGET!$C$70)-SUM(F1260:F1279)-SUM(H1260:H1275))))</x:f>
      </x:c>
      <x:c r="I1276" s="88" t="str">
        <x:f>IF(C1276="","",MAX(0,ROUND(D1276+E1276-F1276-G1276-H1276,2)))</x:f>
      </x:c>
      <x:c r="J1276" s="88" t="str">
        <x:f>IF(C1276="","",F1276+G1276+H1276)</x:f>
      </x:c>
      <x:c r="K1276" s="88" t="str">
        <x:f>IF(C1276="","",MAX(0,SUMIFS(SONDERZAHLUNGEN!$E$9:$E$128,SONDERZAHLUNGEN!$B$9:$B$128,C1276,SONDERZAHLUNGEN!$C$9:$C$128,A1276,SONDERZAHLUNGEN!$H$9:$H$128,"OK",SONDERZAHLUNGEN!$F$9:$F$128,"Ja")-G1276))</x:f>
      </x:c>
    </x:row>
    <x:row r="1277" ht="19" customHeight="1">
      <x:c r="A1277" s="90" t="n">
        <x:f>MONATSBUDGET!$A$70</x:f>
        <x:v>48122</x:v>
      </x:c>
      <x:c r="B1277" t="n">
        <x:f>18</x:f>
        <x:v>18</x:v>
      </x:c>
      <x:c r="C1277" t="str">
        <x:f>IF($N$26="","",$N$26)</x:f>
      </x:c>
      <x:c r="D1277" s="88" t="str">
        <x:f>IF(C1277="","",I1257)</x:f>
      </x:c>
      <x:c r="E1277" s="88" t="str">
        <x:f>IF(C1277="","",ROUND(D1277*$P$26/12,2))</x:f>
      </x:c>
      <x:c r="F1277" s="88" t="str">
        <x:f>IF(C1277="","",MIN(D1277+E1277,$Q$26))</x:f>
      </x:c>
      <x:c r="G1277" s="88" t="str">
        <x:f>IF(C1277="","",MIN(MAX(0,D1277+E1277-F1277),SUMIFS(SONDERZAHLUNGEN!$E$9:$E$128,SONDERZAHLUNGEN!$B$9:$B$128,C1277,SONDERZAHLUNGEN!$C$9:$C$128,A1277,SONDERZAHLUNGEN!$H$9:$H$128,"OK",SONDERZAHLUNGEN!$F$9:$F$128,"Ja")))</x:f>
      </x:c>
      <x:c r="H1277" s="88" t="str">
        <x:f>IF(C1277="","",MIN(MAX(0,D1277+E1277-F1277-G1277),MAX(0,IF(MONATSBUDGET!$C$70="",0,MONATSBUDGET!$C$70)-SUM(F1260:F1279)-SUM(H1260:H1276))))</x:f>
      </x:c>
      <x:c r="I1277" s="88" t="str">
        <x:f>IF(C1277="","",MAX(0,ROUND(D1277+E1277-F1277-G1277-H1277,2)))</x:f>
      </x:c>
      <x:c r="J1277" s="88" t="str">
        <x:f>IF(C1277="","",F1277+G1277+H1277)</x:f>
      </x:c>
      <x:c r="K1277" s="88" t="str">
        <x:f>IF(C1277="","",MAX(0,SUMIFS(SONDERZAHLUNGEN!$E$9:$E$128,SONDERZAHLUNGEN!$B$9:$B$128,C1277,SONDERZAHLUNGEN!$C$9:$C$128,A1277,SONDERZAHLUNGEN!$H$9:$H$128,"OK",SONDERZAHLUNGEN!$F$9:$F$128,"Ja")-G1277))</x:f>
      </x:c>
    </x:row>
    <x:row r="1278" ht="19" customHeight="1">
      <x:c r="A1278" s="90" t="n">
        <x:f>MONATSBUDGET!$A$70</x:f>
        <x:v>48122</x:v>
      </x:c>
      <x:c r="B1278" t="n">
        <x:f>19</x:f>
        <x:v>19</x:v>
      </x:c>
      <x:c r="C1278" t="str">
        <x:f>IF($N$27="","",$N$27)</x:f>
      </x:c>
      <x:c r="D1278" s="88" t="str">
        <x:f>IF(C1278="","",I1258)</x:f>
      </x:c>
      <x:c r="E1278" s="88" t="str">
        <x:f>IF(C1278="","",ROUND(D1278*$P$27/12,2))</x:f>
      </x:c>
      <x:c r="F1278" s="88" t="str">
        <x:f>IF(C1278="","",MIN(D1278+E1278,$Q$27))</x:f>
      </x:c>
      <x:c r="G1278" s="88" t="str">
        <x:f>IF(C1278="","",MIN(MAX(0,D1278+E1278-F1278),SUMIFS(SONDERZAHLUNGEN!$E$9:$E$128,SONDERZAHLUNGEN!$B$9:$B$128,C1278,SONDERZAHLUNGEN!$C$9:$C$128,A1278,SONDERZAHLUNGEN!$H$9:$H$128,"OK",SONDERZAHLUNGEN!$F$9:$F$128,"Ja")))</x:f>
      </x:c>
      <x:c r="H1278" s="88" t="str">
        <x:f>IF(C1278="","",MIN(MAX(0,D1278+E1278-F1278-G1278),MAX(0,IF(MONATSBUDGET!$C$70="",0,MONATSBUDGET!$C$70)-SUM(F1260:F1279)-SUM(H1260:H1277))))</x:f>
      </x:c>
      <x:c r="I1278" s="88" t="str">
        <x:f>IF(C1278="","",MAX(0,ROUND(D1278+E1278-F1278-G1278-H1278,2)))</x:f>
      </x:c>
      <x:c r="J1278" s="88" t="str">
        <x:f>IF(C1278="","",F1278+G1278+H1278)</x:f>
      </x:c>
      <x:c r="K1278" s="88" t="str">
        <x:f>IF(C1278="","",MAX(0,SUMIFS(SONDERZAHLUNGEN!$E$9:$E$128,SONDERZAHLUNGEN!$B$9:$B$128,C1278,SONDERZAHLUNGEN!$C$9:$C$128,A1278,SONDERZAHLUNGEN!$H$9:$H$128,"OK",SONDERZAHLUNGEN!$F$9:$F$128,"Ja")-G1278))</x:f>
      </x:c>
    </x:row>
    <x:row r="1279" ht="19" customHeight="1">
      <x:c r="A1279" s="90" t="n">
        <x:f>MONATSBUDGET!$A$70</x:f>
        <x:v>48122</x:v>
      </x:c>
      <x:c r="B1279" t="n">
        <x:f>20</x:f>
        <x:v>20</x:v>
      </x:c>
      <x:c r="C1279" t="str">
        <x:f>IF($N$28="","",$N$28)</x:f>
      </x:c>
      <x:c r="D1279" s="88" t="str">
        <x:f>IF(C1279="","",I1259)</x:f>
      </x:c>
      <x:c r="E1279" s="88" t="str">
        <x:f>IF(C1279="","",ROUND(D1279*$P$28/12,2))</x:f>
      </x:c>
      <x:c r="F1279" s="88" t="str">
        <x:f>IF(C1279="","",MIN(D1279+E1279,$Q$28))</x:f>
      </x:c>
      <x:c r="G1279" s="88" t="str">
        <x:f>IF(C1279="","",MIN(MAX(0,D1279+E1279-F1279),SUMIFS(SONDERZAHLUNGEN!$E$9:$E$128,SONDERZAHLUNGEN!$B$9:$B$128,C1279,SONDERZAHLUNGEN!$C$9:$C$128,A1279,SONDERZAHLUNGEN!$H$9:$H$128,"OK",SONDERZAHLUNGEN!$F$9:$F$128,"Ja")))</x:f>
      </x:c>
      <x:c r="H1279" s="88" t="str">
        <x:f>IF(C1279="","",MIN(MAX(0,D1279+E1279-F1279-G1279),MAX(0,IF(MONATSBUDGET!$C$70="",0,MONATSBUDGET!$C$70)-SUM(F1260:F1279)-SUM(H1260:H1278))))</x:f>
      </x:c>
      <x:c r="I1279" s="88" t="str">
        <x:f>IF(C1279="","",MAX(0,ROUND(D1279+E1279-F1279-G1279-H1279,2)))</x:f>
      </x:c>
      <x:c r="J1279" s="88" t="str">
        <x:f>IF(C1279="","",F1279+G1279+H1279)</x:f>
      </x:c>
      <x:c r="K1279" s="88" t="str">
        <x:f>IF(C1279="","",MAX(0,SUMIFS(SONDERZAHLUNGEN!$E$9:$E$128,SONDERZAHLUNGEN!$B$9:$B$128,C1279,SONDERZAHLUNGEN!$C$9:$C$128,A1279,SONDERZAHLUNGEN!$H$9:$H$128,"OK",SONDERZAHLUNGEN!$F$9:$F$128,"Ja")-G1279))</x:f>
      </x:c>
    </x:row>
    <x:row r="1280" ht="19" customHeight="1">
      <x:c r="A1280" s="90" t="n">
        <x:f>MONATSBUDGET!$A$71</x:f>
        <x:v>48153</x:v>
      </x:c>
      <x:c r="B1280" t="n">
        <x:f>1</x:f>
        <x:v>1</x:v>
      </x:c>
      <x:c r="C1280" t="str">
        <x:f>IF($N$9="","",$N$9)</x:f>
      </x:c>
      <x:c r="D1280" s="88" t="str">
        <x:f>IF(C1280="","",I1260)</x:f>
      </x:c>
      <x:c r="E1280" s="88" t="str">
        <x:f>IF(C1280="","",ROUND(D1280*$P$9/12,2))</x:f>
      </x:c>
      <x:c r="F1280" s="88" t="str">
        <x:f>IF(C1280="","",MIN(D1280+E1280,$Q$9))</x:f>
      </x:c>
      <x:c r="G1280" s="88" t="str">
        <x:f>IF(C1280="","",MIN(MAX(0,D1280+E1280-F1280),SUMIFS(SONDERZAHLUNGEN!$E$9:$E$128,SONDERZAHLUNGEN!$B$9:$B$128,C1280,SONDERZAHLUNGEN!$C$9:$C$128,A1280,SONDERZAHLUNGEN!$H$9:$H$128,"OK",SONDERZAHLUNGEN!$F$9:$F$128,"Ja")))</x:f>
      </x:c>
      <x:c r="H1280" s="88" t="str">
        <x:f>IF(C1280="","",MIN(MAX(0,D1280+E1280-F1280-G1280),MAX(0,IF(MONATSBUDGET!$C$71="",0,MONATSBUDGET!$C$71)-SUM(F1280:F1299)-0)))</x:f>
      </x:c>
      <x:c r="I1280" s="88" t="str">
        <x:f>IF(C1280="","",MAX(0,ROUND(D1280+E1280-F1280-G1280-H1280,2)))</x:f>
      </x:c>
      <x:c r="J1280" s="88" t="str">
        <x:f>IF(C1280="","",F1280+G1280+H1280)</x:f>
      </x:c>
      <x:c r="K1280" s="88" t="str">
        <x:f>IF(C1280="","",MAX(0,SUMIFS(SONDERZAHLUNGEN!$E$9:$E$128,SONDERZAHLUNGEN!$B$9:$B$128,C1280,SONDERZAHLUNGEN!$C$9:$C$128,A1280,SONDERZAHLUNGEN!$H$9:$H$128,"OK",SONDERZAHLUNGEN!$F$9:$F$128,"Ja")-G1280))</x:f>
      </x:c>
    </x:row>
    <x:row r="1281" ht="19" customHeight="1">
      <x:c r="A1281" s="90" t="n">
        <x:f>MONATSBUDGET!$A$71</x:f>
        <x:v>48153</x:v>
      </x:c>
      <x:c r="B1281" t="n">
        <x:f>2</x:f>
        <x:v>2</x:v>
      </x:c>
      <x:c r="C1281" t="str">
        <x:f>IF($N$10="","",$N$10)</x:f>
      </x:c>
      <x:c r="D1281" s="88" t="str">
        <x:f>IF(C1281="","",I1261)</x:f>
      </x:c>
      <x:c r="E1281" s="88" t="str">
        <x:f>IF(C1281="","",ROUND(D1281*$P$10/12,2))</x:f>
      </x:c>
      <x:c r="F1281" s="88" t="str">
        <x:f>IF(C1281="","",MIN(D1281+E1281,$Q$10))</x:f>
      </x:c>
      <x:c r="G1281" s="88" t="str">
        <x:f>IF(C1281="","",MIN(MAX(0,D1281+E1281-F1281),SUMIFS(SONDERZAHLUNGEN!$E$9:$E$128,SONDERZAHLUNGEN!$B$9:$B$128,C1281,SONDERZAHLUNGEN!$C$9:$C$128,A1281,SONDERZAHLUNGEN!$H$9:$H$128,"OK",SONDERZAHLUNGEN!$F$9:$F$128,"Ja")))</x:f>
      </x:c>
      <x:c r="H1281" s="88" t="str">
        <x:f>IF(C1281="","",MIN(MAX(0,D1281+E1281-F1281-G1281),MAX(0,IF(MONATSBUDGET!$C$71="",0,MONATSBUDGET!$C$71)-SUM(F1280:F1299)-SUM(H1280:H1280))))</x:f>
      </x:c>
      <x:c r="I1281" s="88" t="str">
        <x:f>IF(C1281="","",MAX(0,ROUND(D1281+E1281-F1281-G1281-H1281,2)))</x:f>
      </x:c>
      <x:c r="J1281" s="88" t="str">
        <x:f>IF(C1281="","",F1281+G1281+H1281)</x:f>
      </x:c>
      <x:c r="K1281" s="88" t="str">
        <x:f>IF(C1281="","",MAX(0,SUMIFS(SONDERZAHLUNGEN!$E$9:$E$128,SONDERZAHLUNGEN!$B$9:$B$128,C1281,SONDERZAHLUNGEN!$C$9:$C$128,A1281,SONDERZAHLUNGEN!$H$9:$H$128,"OK",SONDERZAHLUNGEN!$F$9:$F$128,"Ja")-G1281))</x:f>
      </x:c>
    </x:row>
    <x:row r="1282" ht="19" customHeight="1">
      <x:c r="A1282" s="90" t="n">
        <x:f>MONATSBUDGET!$A$71</x:f>
        <x:v>48153</x:v>
      </x:c>
      <x:c r="B1282" t="n">
        <x:f>3</x:f>
        <x:v>3</x:v>
      </x:c>
      <x:c r="C1282" t="str">
        <x:f>IF($N$11="","",$N$11)</x:f>
      </x:c>
      <x:c r="D1282" s="88" t="str">
        <x:f>IF(C1282="","",I1262)</x:f>
      </x:c>
      <x:c r="E1282" s="88" t="str">
        <x:f>IF(C1282="","",ROUND(D1282*$P$11/12,2))</x:f>
      </x:c>
      <x:c r="F1282" s="88" t="str">
        <x:f>IF(C1282="","",MIN(D1282+E1282,$Q$11))</x:f>
      </x:c>
      <x:c r="G1282" s="88" t="str">
        <x:f>IF(C1282="","",MIN(MAX(0,D1282+E1282-F1282),SUMIFS(SONDERZAHLUNGEN!$E$9:$E$128,SONDERZAHLUNGEN!$B$9:$B$128,C1282,SONDERZAHLUNGEN!$C$9:$C$128,A1282,SONDERZAHLUNGEN!$H$9:$H$128,"OK",SONDERZAHLUNGEN!$F$9:$F$128,"Ja")))</x:f>
      </x:c>
      <x:c r="H1282" s="88" t="str">
        <x:f>IF(C1282="","",MIN(MAX(0,D1282+E1282-F1282-G1282),MAX(0,IF(MONATSBUDGET!$C$71="",0,MONATSBUDGET!$C$71)-SUM(F1280:F1299)-SUM(H1280:H1281))))</x:f>
      </x:c>
      <x:c r="I1282" s="88" t="str">
        <x:f>IF(C1282="","",MAX(0,ROUND(D1282+E1282-F1282-G1282-H1282,2)))</x:f>
      </x:c>
      <x:c r="J1282" s="88" t="str">
        <x:f>IF(C1282="","",F1282+G1282+H1282)</x:f>
      </x:c>
      <x:c r="K1282" s="88" t="str">
        <x:f>IF(C1282="","",MAX(0,SUMIFS(SONDERZAHLUNGEN!$E$9:$E$128,SONDERZAHLUNGEN!$B$9:$B$128,C1282,SONDERZAHLUNGEN!$C$9:$C$128,A1282,SONDERZAHLUNGEN!$H$9:$H$128,"OK",SONDERZAHLUNGEN!$F$9:$F$128,"Ja")-G1282))</x:f>
      </x:c>
    </x:row>
    <x:row r="1283" ht="19" customHeight="1">
      <x:c r="A1283" s="90" t="n">
        <x:f>MONATSBUDGET!$A$71</x:f>
        <x:v>48153</x:v>
      </x:c>
      <x:c r="B1283" t="n">
        <x:f>4</x:f>
        <x:v>4</x:v>
      </x:c>
      <x:c r="C1283" t="str">
        <x:f>IF($N$12="","",$N$12)</x:f>
      </x:c>
      <x:c r="D1283" s="88" t="str">
        <x:f>IF(C1283="","",I1263)</x:f>
      </x:c>
      <x:c r="E1283" s="88" t="str">
        <x:f>IF(C1283="","",ROUND(D1283*$P$12/12,2))</x:f>
      </x:c>
      <x:c r="F1283" s="88" t="str">
        <x:f>IF(C1283="","",MIN(D1283+E1283,$Q$12))</x:f>
      </x:c>
      <x:c r="G1283" s="88" t="str">
        <x:f>IF(C1283="","",MIN(MAX(0,D1283+E1283-F1283),SUMIFS(SONDERZAHLUNGEN!$E$9:$E$128,SONDERZAHLUNGEN!$B$9:$B$128,C1283,SONDERZAHLUNGEN!$C$9:$C$128,A1283,SONDERZAHLUNGEN!$H$9:$H$128,"OK",SONDERZAHLUNGEN!$F$9:$F$128,"Ja")))</x:f>
      </x:c>
      <x:c r="H1283" s="88" t="str">
        <x:f>IF(C1283="","",MIN(MAX(0,D1283+E1283-F1283-G1283),MAX(0,IF(MONATSBUDGET!$C$71="",0,MONATSBUDGET!$C$71)-SUM(F1280:F1299)-SUM(H1280:H1282))))</x:f>
      </x:c>
      <x:c r="I1283" s="88" t="str">
        <x:f>IF(C1283="","",MAX(0,ROUND(D1283+E1283-F1283-G1283-H1283,2)))</x:f>
      </x:c>
      <x:c r="J1283" s="88" t="str">
        <x:f>IF(C1283="","",F1283+G1283+H1283)</x:f>
      </x:c>
      <x:c r="K1283" s="88" t="str">
        <x:f>IF(C1283="","",MAX(0,SUMIFS(SONDERZAHLUNGEN!$E$9:$E$128,SONDERZAHLUNGEN!$B$9:$B$128,C1283,SONDERZAHLUNGEN!$C$9:$C$128,A1283,SONDERZAHLUNGEN!$H$9:$H$128,"OK",SONDERZAHLUNGEN!$F$9:$F$128,"Ja")-G1283))</x:f>
      </x:c>
    </x:row>
    <x:row r="1284" ht="19" customHeight="1">
      <x:c r="A1284" s="90" t="n">
        <x:f>MONATSBUDGET!$A$71</x:f>
        <x:v>48153</x:v>
      </x:c>
      <x:c r="B1284" t="n">
        <x:f>5</x:f>
        <x:v>5</x:v>
      </x:c>
      <x:c r="C1284" t="str">
        <x:f>IF($N$13="","",$N$13)</x:f>
      </x:c>
      <x:c r="D1284" s="88" t="str">
        <x:f>IF(C1284="","",I1264)</x:f>
      </x:c>
      <x:c r="E1284" s="88" t="str">
        <x:f>IF(C1284="","",ROUND(D1284*$P$13/12,2))</x:f>
      </x:c>
      <x:c r="F1284" s="88" t="str">
        <x:f>IF(C1284="","",MIN(D1284+E1284,$Q$13))</x:f>
      </x:c>
      <x:c r="G1284" s="88" t="str">
        <x:f>IF(C1284="","",MIN(MAX(0,D1284+E1284-F1284),SUMIFS(SONDERZAHLUNGEN!$E$9:$E$128,SONDERZAHLUNGEN!$B$9:$B$128,C1284,SONDERZAHLUNGEN!$C$9:$C$128,A1284,SONDERZAHLUNGEN!$H$9:$H$128,"OK",SONDERZAHLUNGEN!$F$9:$F$128,"Ja")))</x:f>
      </x:c>
      <x:c r="H1284" s="88" t="str">
        <x:f>IF(C1284="","",MIN(MAX(0,D1284+E1284-F1284-G1284),MAX(0,IF(MONATSBUDGET!$C$71="",0,MONATSBUDGET!$C$71)-SUM(F1280:F1299)-SUM(H1280:H1283))))</x:f>
      </x:c>
      <x:c r="I1284" s="88" t="str">
        <x:f>IF(C1284="","",MAX(0,ROUND(D1284+E1284-F1284-G1284-H1284,2)))</x:f>
      </x:c>
      <x:c r="J1284" s="88" t="str">
        <x:f>IF(C1284="","",F1284+G1284+H1284)</x:f>
      </x:c>
      <x:c r="K1284" s="88" t="str">
        <x:f>IF(C1284="","",MAX(0,SUMIFS(SONDERZAHLUNGEN!$E$9:$E$128,SONDERZAHLUNGEN!$B$9:$B$128,C1284,SONDERZAHLUNGEN!$C$9:$C$128,A1284,SONDERZAHLUNGEN!$H$9:$H$128,"OK",SONDERZAHLUNGEN!$F$9:$F$128,"Ja")-G1284))</x:f>
      </x:c>
    </x:row>
    <x:row r="1285" ht="19" customHeight="1">
      <x:c r="A1285" s="90" t="n">
        <x:f>MONATSBUDGET!$A$71</x:f>
        <x:v>48153</x:v>
      </x:c>
      <x:c r="B1285" t="n">
        <x:f>6</x:f>
        <x:v>6</x:v>
      </x:c>
      <x:c r="C1285" t="str">
        <x:f>IF($N$14="","",$N$14)</x:f>
      </x:c>
      <x:c r="D1285" s="88" t="str">
        <x:f>IF(C1285="","",I1265)</x:f>
      </x:c>
      <x:c r="E1285" s="88" t="str">
        <x:f>IF(C1285="","",ROUND(D1285*$P$14/12,2))</x:f>
      </x:c>
      <x:c r="F1285" s="88" t="str">
        <x:f>IF(C1285="","",MIN(D1285+E1285,$Q$14))</x:f>
      </x:c>
      <x:c r="G1285" s="88" t="str">
        <x:f>IF(C1285="","",MIN(MAX(0,D1285+E1285-F1285),SUMIFS(SONDERZAHLUNGEN!$E$9:$E$128,SONDERZAHLUNGEN!$B$9:$B$128,C1285,SONDERZAHLUNGEN!$C$9:$C$128,A1285,SONDERZAHLUNGEN!$H$9:$H$128,"OK",SONDERZAHLUNGEN!$F$9:$F$128,"Ja")))</x:f>
      </x:c>
      <x:c r="H1285" s="88" t="str">
        <x:f>IF(C1285="","",MIN(MAX(0,D1285+E1285-F1285-G1285),MAX(0,IF(MONATSBUDGET!$C$71="",0,MONATSBUDGET!$C$71)-SUM(F1280:F1299)-SUM(H1280:H1284))))</x:f>
      </x:c>
      <x:c r="I1285" s="88" t="str">
        <x:f>IF(C1285="","",MAX(0,ROUND(D1285+E1285-F1285-G1285-H1285,2)))</x:f>
      </x:c>
      <x:c r="J1285" s="88" t="str">
        <x:f>IF(C1285="","",F1285+G1285+H1285)</x:f>
      </x:c>
      <x:c r="K1285" s="88" t="str">
        <x:f>IF(C1285="","",MAX(0,SUMIFS(SONDERZAHLUNGEN!$E$9:$E$128,SONDERZAHLUNGEN!$B$9:$B$128,C1285,SONDERZAHLUNGEN!$C$9:$C$128,A1285,SONDERZAHLUNGEN!$H$9:$H$128,"OK",SONDERZAHLUNGEN!$F$9:$F$128,"Ja")-G1285))</x:f>
      </x:c>
    </x:row>
    <x:row r="1286" ht="19" customHeight="1">
      <x:c r="A1286" s="90" t="n">
        <x:f>MONATSBUDGET!$A$71</x:f>
        <x:v>48153</x:v>
      </x:c>
      <x:c r="B1286" t="n">
        <x:f>7</x:f>
        <x:v>7</x:v>
      </x:c>
      <x:c r="C1286" t="str">
        <x:f>IF($N$15="","",$N$15)</x:f>
      </x:c>
      <x:c r="D1286" s="88" t="str">
        <x:f>IF(C1286="","",I1266)</x:f>
      </x:c>
      <x:c r="E1286" s="88" t="str">
        <x:f>IF(C1286="","",ROUND(D1286*$P$15/12,2))</x:f>
      </x:c>
      <x:c r="F1286" s="88" t="str">
        <x:f>IF(C1286="","",MIN(D1286+E1286,$Q$15))</x:f>
      </x:c>
      <x:c r="G1286" s="88" t="str">
        <x:f>IF(C1286="","",MIN(MAX(0,D1286+E1286-F1286),SUMIFS(SONDERZAHLUNGEN!$E$9:$E$128,SONDERZAHLUNGEN!$B$9:$B$128,C1286,SONDERZAHLUNGEN!$C$9:$C$128,A1286,SONDERZAHLUNGEN!$H$9:$H$128,"OK",SONDERZAHLUNGEN!$F$9:$F$128,"Ja")))</x:f>
      </x:c>
      <x:c r="H1286" s="88" t="str">
        <x:f>IF(C1286="","",MIN(MAX(0,D1286+E1286-F1286-G1286),MAX(0,IF(MONATSBUDGET!$C$71="",0,MONATSBUDGET!$C$71)-SUM(F1280:F1299)-SUM(H1280:H1285))))</x:f>
      </x:c>
      <x:c r="I1286" s="88" t="str">
        <x:f>IF(C1286="","",MAX(0,ROUND(D1286+E1286-F1286-G1286-H1286,2)))</x:f>
      </x:c>
      <x:c r="J1286" s="88" t="str">
        <x:f>IF(C1286="","",F1286+G1286+H1286)</x:f>
      </x:c>
      <x:c r="K1286" s="88" t="str">
        <x:f>IF(C1286="","",MAX(0,SUMIFS(SONDERZAHLUNGEN!$E$9:$E$128,SONDERZAHLUNGEN!$B$9:$B$128,C1286,SONDERZAHLUNGEN!$C$9:$C$128,A1286,SONDERZAHLUNGEN!$H$9:$H$128,"OK",SONDERZAHLUNGEN!$F$9:$F$128,"Ja")-G1286))</x:f>
      </x:c>
    </x:row>
    <x:row r="1287" ht="19" customHeight="1">
      <x:c r="A1287" s="90" t="n">
        <x:f>MONATSBUDGET!$A$71</x:f>
        <x:v>48153</x:v>
      </x:c>
      <x:c r="B1287" t="n">
        <x:f>8</x:f>
        <x:v>8</x:v>
      </x:c>
      <x:c r="C1287" t="str">
        <x:f>IF($N$16="","",$N$16)</x:f>
      </x:c>
      <x:c r="D1287" s="88" t="str">
        <x:f>IF(C1287="","",I1267)</x:f>
      </x:c>
      <x:c r="E1287" s="88" t="str">
        <x:f>IF(C1287="","",ROUND(D1287*$P$16/12,2))</x:f>
      </x:c>
      <x:c r="F1287" s="88" t="str">
        <x:f>IF(C1287="","",MIN(D1287+E1287,$Q$16))</x:f>
      </x:c>
      <x:c r="G1287" s="88" t="str">
        <x:f>IF(C1287="","",MIN(MAX(0,D1287+E1287-F1287),SUMIFS(SONDERZAHLUNGEN!$E$9:$E$128,SONDERZAHLUNGEN!$B$9:$B$128,C1287,SONDERZAHLUNGEN!$C$9:$C$128,A1287,SONDERZAHLUNGEN!$H$9:$H$128,"OK",SONDERZAHLUNGEN!$F$9:$F$128,"Ja")))</x:f>
      </x:c>
      <x:c r="H1287" s="88" t="str">
        <x:f>IF(C1287="","",MIN(MAX(0,D1287+E1287-F1287-G1287),MAX(0,IF(MONATSBUDGET!$C$71="",0,MONATSBUDGET!$C$71)-SUM(F1280:F1299)-SUM(H1280:H1286))))</x:f>
      </x:c>
      <x:c r="I1287" s="88" t="str">
        <x:f>IF(C1287="","",MAX(0,ROUND(D1287+E1287-F1287-G1287-H1287,2)))</x:f>
      </x:c>
      <x:c r="J1287" s="88" t="str">
        <x:f>IF(C1287="","",F1287+G1287+H1287)</x:f>
      </x:c>
      <x:c r="K1287" s="88" t="str">
        <x:f>IF(C1287="","",MAX(0,SUMIFS(SONDERZAHLUNGEN!$E$9:$E$128,SONDERZAHLUNGEN!$B$9:$B$128,C1287,SONDERZAHLUNGEN!$C$9:$C$128,A1287,SONDERZAHLUNGEN!$H$9:$H$128,"OK",SONDERZAHLUNGEN!$F$9:$F$128,"Ja")-G1287))</x:f>
      </x:c>
    </x:row>
    <x:row r="1288" ht="19" customHeight="1">
      <x:c r="A1288" s="90" t="n">
        <x:f>MONATSBUDGET!$A$71</x:f>
        <x:v>48153</x:v>
      </x:c>
      <x:c r="B1288" t="n">
        <x:f>9</x:f>
        <x:v>9</x:v>
      </x:c>
      <x:c r="C1288" t="str">
        <x:f>IF($N$17="","",$N$17)</x:f>
      </x:c>
      <x:c r="D1288" s="88" t="str">
        <x:f>IF(C1288="","",I1268)</x:f>
      </x:c>
      <x:c r="E1288" s="88" t="str">
        <x:f>IF(C1288="","",ROUND(D1288*$P$17/12,2))</x:f>
      </x:c>
      <x:c r="F1288" s="88" t="str">
        <x:f>IF(C1288="","",MIN(D1288+E1288,$Q$17))</x:f>
      </x:c>
      <x:c r="G1288" s="88" t="str">
        <x:f>IF(C1288="","",MIN(MAX(0,D1288+E1288-F1288),SUMIFS(SONDERZAHLUNGEN!$E$9:$E$128,SONDERZAHLUNGEN!$B$9:$B$128,C1288,SONDERZAHLUNGEN!$C$9:$C$128,A1288,SONDERZAHLUNGEN!$H$9:$H$128,"OK",SONDERZAHLUNGEN!$F$9:$F$128,"Ja")))</x:f>
      </x:c>
      <x:c r="H1288" s="88" t="str">
        <x:f>IF(C1288="","",MIN(MAX(0,D1288+E1288-F1288-G1288),MAX(0,IF(MONATSBUDGET!$C$71="",0,MONATSBUDGET!$C$71)-SUM(F1280:F1299)-SUM(H1280:H1287))))</x:f>
      </x:c>
      <x:c r="I1288" s="88" t="str">
        <x:f>IF(C1288="","",MAX(0,ROUND(D1288+E1288-F1288-G1288-H1288,2)))</x:f>
      </x:c>
      <x:c r="J1288" s="88" t="str">
        <x:f>IF(C1288="","",F1288+G1288+H1288)</x:f>
      </x:c>
      <x:c r="K1288" s="88" t="str">
        <x:f>IF(C1288="","",MAX(0,SUMIFS(SONDERZAHLUNGEN!$E$9:$E$128,SONDERZAHLUNGEN!$B$9:$B$128,C1288,SONDERZAHLUNGEN!$C$9:$C$128,A1288,SONDERZAHLUNGEN!$H$9:$H$128,"OK",SONDERZAHLUNGEN!$F$9:$F$128,"Ja")-G1288))</x:f>
      </x:c>
    </x:row>
    <x:row r="1289" ht="19" customHeight="1">
      <x:c r="A1289" s="90" t="n">
        <x:f>MONATSBUDGET!$A$71</x:f>
        <x:v>48153</x:v>
      </x:c>
      <x:c r="B1289" t="n">
        <x:f>10</x:f>
        <x:v>10</x:v>
      </x:c>
      <x:c r="C1289" t="str">
        <x:f>IF($N$18="","",$N$18)</x:f>
      </x:c>
      <x:c r="D1289" s="88" t="str">
        <x:f>IF(C1289="","",I1269)</x:f>
      </x:c>
      <x:c r="E1289" s="88" t="str">
        <x:f>IF(C1289="","",ROUND(D1289*$P$18/12,2))</x:f>
      </x:c>
      <x:c r="F1289" s="88" t="str">
        <x:f>IF(C1289="","",MIN(D1289+E1289,$Q$18))</x:f>
      </x:c>
      <x:c r="G1289" s="88" t="str">
        <x:f>IF(C1289="","",MIN(MAX(0,D1289+E1289-F1289),SUMIFS(SONDERZAHLUNGEN!$E$9:$E$128,SONDERZAHLUNGEN!$B$9:$B$128,C1289,SONDERZAHLUNGEN!$C$9:$C$128,A1289,SONDERZAHLUNGEN!$H$9:$H$128,"OK",SONDERZAHLUNGEN!$F$9:$F$128,"Ja")))</x:f>
      </x:c>
      <x:c r="H1289" s="88" t="str">
        <x:f>IF(C1289="","",MIN(MAX(0,D1289+E1289-F1289-G1289),MAX(0,IF(MONATSBUDGET!$C$71="",0,MONATSBUDGET!$C$71)-SUM(F1280:F1299)-SUM(H1280:H1288))))</x:f>
      </x:c>
      <x:c r="I1289" s="88" t="str">
        <x:f>IF(C1289="","",MAX(0,ROUND(D1289+E1289-F1289-G1289-H1289,2)))</x:f>
      </x:c>
      <x:c r="J1289" s="88" t="str">
        <x:f>IF(C1289="","",F1289+G1289+H1289)</x:f>
      </x:c>
      <x:c r="K1289" s="88" t="str">
        <x:f>IF(C1289="","",MAX(0,SUMIFS(SONDERZAHLUNGEN!$E$9:$E$128,SONDERZAHLUNGEN!$B$9:$B$128,C1289,SONDERZAHLUNGEN!$C$9:$C$128,A1289,SONDERZAHLUNGEN!$H$9:$H$128,"OK",SONDERZAHLUNGEN!$F$9:$F$128,"Ja")-G1289))</x:f>
      </x:c>
    </x:row>
    <x:row r="1290" ht="19" customHeight="1">
      <x:c r="A1290" s="90" t="n">
        <x:f>MONATSBUDGET!$A$71</x:f>
        <x:v>48153</x:v>
      </x:c>
      <x:c r="B1290" t="n">
        <x:f>11</x:f>
        <x:v>11</x:v>
      </x:c>
      <x:c r="C1290" t="str">
        <x:f>IF($N$19="","",$N$19)</x:f>
      </x:c>
      <x:c r="D1290" s="88" t="str">
        <x:f>IF(C1290="","",I1270)</x:f>
      </x:c>
      <x:c r="E1290" s="88" t="str">
        <x:f>IF(C1290="","",ROUND(D1290*$P$19/12,2))</x:f>
      </x:c>
      <x:c r="F1290" s="88" t="str">
        <x:f>IF(C1290="","",MIN(D1290+E1290,$Q$19))</x:f>
      </x:c>
      <x:c r="G1290" s="88" t="str">
        <x:f>IF(C1290="","",MIN(MAX(0,D1290+E1290-F1290),SUMIFS(SONDERZAHLUNGEN!$E$9:$E$128,SONDERZAHLUNGEN!$B$9:$B$128,C1290,SONDERZAHLUNGEN!$C$9:$C$128,A1290,SONDERZAHLUNGEN!$H$9:$H$128,"OK",SONDERZAHLUNGEN!$F$9:$F$128,"Ja")))</x:f>
      </x:c>
      <x:c r="H1290" s="88" t="str">
        <x:f>IF(C1290="","",MIN(MAX(0,D1290+E1290-F1290-G1290),MAX(0,IF(MONATSBUDGET!$C$71="",0,MONATSBUDGET!$C$71)-SUM(F1280:F1299)-SUM(H1280:H1289))))</x:f>
      </x:c>
      <x:c r="I1290" s="88" t="str">
        <x:f>IF(C1290="","",MAX(0,ROUND(D1290+E1290-F1290-G1290-H1290,2)))</x:f>
      </x:c>
      <x:c r="J1290" s="88" t="str">
        <x:f>IF(C1290="","",F1290+G1290+H1290)</x:f>
      </x:c>
      <x:c r="K1290" s="88" t="str">
        <x:f>IF(C1290="","",MAX(0,SUMIFS(SONDERZAHLUNGEN!$E$9:$E$128,SONDERZAHLUNGEN!$B$9:$B$128,C1290,SONDERZAHLUNGEN!$C$9:$C$128,A1290,SONDERZAHLUNGEN!$H$9:$H$128,"OK",SONDERZAHLUNGEN!$F$9:$F$128,"Ja")-G1290))</x:f>
      </x:c>
    </x:row>
    <x:row r="1291" ht="19" customHeight="1">
      <x:c r="A1291" s="90" t="n">
        <x:f>MONATSBUDGET!$A$71</x:f>
        <x:v>48153</x:v>
      </x:c>
      <x:c r="B1291" t="n">
        <x:f>12</x:f>
        <x:v>12</x:v>
      </x:c>
      <x:c r="C1291" t="str">
        <x:f>IF($N$20="","",$N$20)</x:f>
      </x:c>
      <x:c r="D1291" s="88" t="str">
        <x:f>IF(C1291="","",I1271)</x:f>
      </x:c>
      <x:c r="E1291" s="88" t="str">
        <x:f>IF(C1291="","",ROUND(D1291*$P$20/12,2))</x:f>
      </x:c>
      <x:c r="F1291" s="88" t="str">
        <x:f>IF(C1291="","",MIN(D1291+E1291,$Q$20))</x:f>
      </x:c>
      <x:c r="G1291" s="88" t="str">
        <x:f>IF(C1291="","",MIN(MAX(0,D1291+E1291-F1291),SUMIFS(SONDERZAHLUNGEN!$E$9:$E$128,SONDERZAHLUNGEN!$B$9:$B$128,C1291,SONDERZAHLUNGEN!$C$9:$C$128,A1291,SONDERZAHLUNGEN!$H$9:$H$128,"OK",SONDERZAHLUNGEN!$F$9:$F$128,"Ja")))</x:f>
      </x:c>
      <x:c r="H1291" s="88" t="str">
        <x:f>IF(C1291="","",MIN(MAX(0,D1291+E1291-F1291-G1291),MAX(0,IF(MONATSBUDGET!$C$71="",0,MONATSBUDGET!$C$71)-SUM(F1280:F1299)-SUM(H1280:H1290))))</x:f>
      </x:c>
      <x:c r="I1291" s="88" t="str">
        <x:f>IF(C1291="","",MAX(0,ROUND(D1291+E1291-F1291-G1291-H1291,2)))</x:f>
      </x:c>
      <x:c r="J1291" s="88" t="str">
        <x:f>IF(C1291="","",F1291+G1291+H1291)</x:f>
      </x:c>
      <x:c r="K1291" s="88" t="str">
        <x:f>IF(C1291="","",MAX(0,SUMIFS(SONDERZAHLUNGEN!$E$9:$E$128,SONDERZAHLUNGEN!$B$9:$B$128,C1291,SONDERZAHLUNGEN!$C$9:$C$128,A1291,SONDERZAHLUNGEN!$H$9:$H$128,"OK",SONDERZAHLUNGEN!$F$9:$F$128,"Ja")-G1291))</x:f>
      </x:c>
    </x:row>
    <x:row r="1292" ht="19" customHeight="1">
      <x:c r="A1292" s="90" t="n">
        <x:f>MONATSBUDGET!$A$71</x:f>
        <x:v>48153</x:v>
      </x:c>
      <x:c r="B1292" t="n">
        <x:f>13</x:f>
        <x:v>13</x:v>
      </x:c>
      <x:c r="C1292" t="str">
        <x:f>IF($N$21="","",$N$21)</x:f>
      </x:c>
      <x:c r="D1292" s="88" t="str">
        <x:f>IF(C1292="","",I1272)</x:f>
      </x:c>
      <x:c r="E1292" s="88" t="str">
        <x:f>IF(C1292="","",ROUND(D1292*$P$21/12,2))</x:f>
      </x:c>
      <x:c r="F1292" s="88" t="str">
        <x:f>IF(C1292="","",MIN(D1292+E1292,$Q$21))</x:f>
      </x:c>
      <x:c r="G1292" s="88" t="str">
        <x:f>IF(C1292="","",MIN(MAX(0,D1292+E1292-F1292),SUMIFS(SONDERZAHLUNGEN!$E$9:$E$128,SONDERZAHLUNGEN!$B$9:$B$128,C1292,SONDERZAHLUNGEN!$C$9:$C$128,A1292,SONDERZAHLUNGEN!$H$9:$H$128,"OK",SONDERZAHLUNGEN!$F$9:$F$128,"Ja")))</x:f>
      </x:c>
      <x:c r="H1292" s="88" t="str">
        <x:f>IF(C1292="","",MIN(MAX(0,D1292+E1292-F1292-G1292),MAX(0,IF(MONATSBUDGET!$C$71="",0,MONATSBUDGET!$C$71)-SUM(F1280:F1299)-SUM(H1280:H1291))))</x:f>
      </x:c>
      <x:c r="I1292" s="88" t="str">
        <x:f>IF(C1292="","",MAX(0,ROUND(D1292+E1292-F1292-G1292-H1292,2)))</x:f>
      </x:c>
      <x:c r="J1292" s="88" t="str">
        <x:f>IF(C1292="","",F1292+G1292+H1292)</x:f>
      </x:c>
      <x:c r="K1292" s="88" t="str">
        <x:f>IF(C1292="","",MAX(0,SUMIFS(SONDERZAHLUNGEN!$E$9:$E$128,SONDERZAHLUNGEN!$B$9:$B$128,C1292,SONDERZAHLUNGEN!$C$9:$C$128,A1292,SONDERZAHLUNGEN!$H$9:$H$128,"OK",SONDERZAHLUNGEN!$F$9:$F$128,"Ja")-G1292))</x:f>
      </x:c>
    </x:row>
    <x:row r="1293" ht="19" customHeight="1">
      <x:c r="A1293" s="90" t="n">
        <x:f>MONATSBUDGET!$A$71</x:f>
        <x:v>48153</x:v>
      </x:c>
      <x:c r="B1293" t="n">
        <x:f>14</x:f>
        <x:v>14</x:v>
      </x:c>
      <x:c r="C1293" t="str">
        <x:f>IF($N$22="","",$N$22)</x:f>
      </x:c>
      <x:c r="D1293" s="88" t="str">
        <x:f>IF(C1293="","",I1273)</x:f>
      </x:c>
      <x:c r="E1293" s="88" t="str">
        <x:f>IF(C1293="","",ROUND(D1293*$P$22/12,2))</x:f>
      </x:c>
      <x:c r="F1293" s="88" t="str">
        <x:f>IF(C1293="","",MIN(D1293+E1293,$Q$22))</x:f>
      </x:c>
      <x:c r="G1293" s="88" t="str">
        <x:f>IF(C1293="","",MIN(MAX(0,D1293+E1293-F1293),SUMIFS(SONDERZAHLUNGEN!$E$9:$E$128,SONDERZAHLUNGEN!$B$9:$B$128,C1293,SONDERZAHLUNGEN!$C$9:$C$128,A1293,SONDERZAHLUNGEN!$H$9:$H$128,"OK",SONDERZAHLUNGEN!$F$9:$F$128,"Ja")))</x:f>
      </x:c>
      <x:c r="H1293" s="88" t="str">
        <x:f>IF(C1293="","",MIN(MAX(0,D1293+E1293-F1293-G1293),MAX(0,IF(MONATSBUDGET!$C$71="",0,MONATSBUDGET!$C$71)-SUM(F1280:F1299)-SUM(H1280:H1292))))</x:f>
      </x:c>
      <x:c r="I1293" s="88" t="str">
        <x:f>IF(C1293="","",MAX(0,ROUND(D1293+E1293-F1293-G1293-H1293,2)))</x:f>
      </x:c>
      <x:c r="J1293" s="88" t="str">
        <x:f>IF(C1293="","",F1293+G1293+H1293)</x:f>
      </x:c>
      <x:c r="K1293" s="88" t="str">
        <x:f>IF(C1293="","",MAX(0,SUMIFS(SONDERZAHLUNGEN!$E$9:$E$128,SONDERZAHLUNGEN!$B$9:$B$128,C1293,SONDERZAHLUNGEN!$C$9:$C$128,A1293,SONDERZAHLUNGEN!$H$9:$H$128,"OK",SONDERZAHLUNGEN!$F$9:$F$128,"Ja")-G1293))</x:f>
      </x:c>
    </x:row>
    <x:row r="1294" ht="19" customHeight="1">
      <x:c r="A1294" s="90" t="n">
        <x:f>MONATSBUDGET!$A$71</x:f>
        <x:v>48153</x:v>
      </x:c>
      <x:c r="B1294" t="n">
        <x:f>15</x:f>
        <x:v>15</x:v>
      </x:c>
      <x:c r="C1294" t="str">
        <x:f>IF($N$23="","",$N$23)</x:f>
      </x:c>
      <x:c r="D1294" s="88" t="str">
        <x:f>IF(C1294="","",I1274)</x:f>
      </x:c>
      <x:c r="E1294" s="88" t="str">
        <x:f>IF(C1294="","",ROUND(D1294*$P$23/12,2))</x:f>
      </x:c>
      <x:c r="F1294" s="88" t="str">
        <x:f>IF(C1294="","",MIN(D1294+E1294,$Q$23))</x:f>
      </x:c>
      <x:c r="G1294" s="88" t="str">
        <x:f>IF(C1294="","",MIN(MAX(0,D1294+E1294-F1294),SUMIFS(SONDERZAHLUNGEN!$E$9:$E$128,SONDERZAHLUNGEN!$B$9:$B$128,C1294,SONDERZAHLUNGEN!$C$9:$C$128,A1294,SONDERZAHLUNGEN!$H$9:$H$128,"OK",SONDERZAHLUNGEN!$F$9:$F$128,"Ja")))</x:f>
      </x:c>
      <x:c r="H1294" s="88" t="str">
        <x:f>IF(C1294="","",MIN(MAX(0,D1294+E1294-F1294-G1294),MAX(0,IF(MONATSBUDGET!$C$71="",0,MONATSBUDGET!$C$71)-SUM(F1280:F1299)-SUM(H1280:H1293))))</x:f>
      </x:c>
      <x:c r="I1294" s="88" t="str">
        <x:f>IF(C1294="","",MAX(0,ROUND(D1294+E1294-F1294-G1294-H1294,2)))</x:f>
      </x:c>
      <x:c r="J1294" s="88" t="str">
        <x:f>IF(C1294="","",F1294+G1294+H1294)</x:f>
      </x:c>
      <x:c r="K1294" s="88" t="str">
        <x:f>IF(C1294="","",MAX(0,SUMIFS(SONDERZAHLUNGEN!$E$9:$E$128,SONDERZAHLUNGEN!$B$9:$B$128,C1294,SONDERZAHLUNGEN!$C$9:$C$128,A1294,SONDERZAHLUNGEN!$H$9:$H$128,"OK",SONDERZAHLUNGEN!$F$9:$F$128,"Ja")-G1294))</x:f>
      </x:c>
    </x:row>
    <x:row r="1295" ht="19" customHeight="1">
      <x:c r="A1295" s="90" t="n">
        <x:f>MONATSBUDGET!$A$71</x:f>
        <x:v>48153</x:v>
      </x:c>
      <x:c r="B1295" t="n">
        <x:f>16</x:f>
        <x:v>16</x:v>
      </x:c>
      <x:c r="C1295" t="str">
        <x:f>IF($N$24="","",$N$24)</x:f>
      </x:c>
      <x:c r="D1295" s="88" t="str">
        <x:f>IF(C1295="","",I1275)</x:f>
      </x:c>
      <x:c r="E1295" s="88" t="str">
        <x:f>IF(C1295="","",ROUND(D1295*$P$24/12,2))</x:f>
      </x:c>
      <x:c r="F1295" s="88" t="str">
        <x:f>IF(C1295="","",MIN(D1295+E1295,$Q$24))</x:f>
      </x:c>
      <x:c r="G1295" s="88" t="str">
        <x:f>IF(C1295="","",MIN(MAX(0,D1295+E1295-F1295),SUMIFS(SONDERZAHLUNGEN!$E$9:$E$128,SONDERZAHLUNGEN!$B$9:$B$128,C1295,SONDERZAHLUNGEN!$C$9:$C$128,A1295,SONDERZAHLUNGEN!$H$9:$H$128,"OK",SONDERZAHLUNGEN!$F$9:$F$128,"Ja")))</x:f>
      </x:c>
      <x:c r="H1295" s="88" t="str">
        <x:f>IF(C1295="","",MIN(MAX(0,D1295+E1295-F1295-G1295),MAX(0,IF(MONATSBUDGET!$C$71="",0,MONATSBUDGET!$C$71)-SUM(F1280:F1299)-SUM(H1280:H1294))))</x:f>
      </x:c>
      <x:c r="I1295" s="88" t="str">
        <x:f>IF(C1295="","",MAX(0,ROUND(D1295+E1295-F1295-G1295-H1295,2)))</x:f>
      </x:c>
      <x:c r="J1295" s="88" t="str">
        <x:f>IF(C1295="","",F1295+G1295+H1295)</x:f>
      </x:c>
      <x:c r="K1295" s="88" t="str">
        <x:f>IF(C1295="","",MAX(0,SUMIFS(SONDERZAHLUNGEN!$E$9:$E$128,SONDERZAHLUNGEN!$B$9:$B$128,C1295,SONDERZAHLUNGEN!$C$9:$C$128,A1295,SONDERZAHLUNGEN!$H$9:$H$128,"OK",SONDERZAHLUNGEN!$F$9:$F$128,"Ja")-G1295))</x:f>
      </x:c>
    </x:row>
    <x:row r="1296" ht="19" customHeight="1">
      <x:c r="A1296" s="90" t="n">
        <x:f>MONATSBUDGET!$A$71</x:f>
        <x:v>48153</x:v>
      </x:c>
      <x:c r="B1296" t="n">
        <x:f>17</x:f>
        <x:v>17</x:v>
      </x:c>
      <x:c r="C1296" t="str">
        <x:f>IF($N$25="","",$N$25)</x:f>
      </x:c>
      <x:c r="D1296" s="88" t="str">
        <x:f>IF(C1296="","",I1276)</x:f>
      </x:c>
      <x:c r="E1296" s="88" t="str">
        <x:f>IF(C1296="","",ROUND(D1296*$P$25/12,2))</x:f>
      </x:c>
      <x:c r="F1296" s="88" t="str">
        <x:f>IF(C1296="","",MIN(D1296+E1296,$Q$25))</x:f>
      </x:c>
      <x:c r="G1296" s="88" t="str">
        <x:f>IF(C1296="","",MIN(MAX(0,D1296+E1296-F1296),SUMIFS(SONDERZAHLUNGEN!$E$9:$E$128,SONDERZAHLUNGEN!$B$9:$B$128,C1296,SONDERZAHLUNGEN!$C$9:$C$128,A1296,SONDERZAHLUNGEN!$H$9:$H$128,"OK",SONDERZAHLUNGEN!$F$9:$F$128,"Ja")))</x:f>
      </x:c>
      <x:c r="H1296" s="88" t="str">
        <x:f>IF(C1296="","",MIN(MAX(0,D1296+E1296-F1296-G1296),MAX(0,IF(MONATSBUDGET!$C$71="",0,MONATSBUDGET!$C$71)-SUM(F1280:F1299)-SUM(H1280:H1295))))</x:f>
      </x:c>
      <x:c r="I1296" s="88" t="str">
        <x:f>IF(C1296="","",MAX(0,ROUND(D1296+E1296-F1296-G1296-H1296,2)))</x:f>
      </x:c>
      <x:c r="J1296" s="88" t="str">
        <x:f>IF(C1296="","",F1296+G1296+H1296)</x:f>
      </x:c>
      <x:c r="K1296" s="88" t="str">
        <x:f>IF(C1296="","",MAX(0,SUMIFS(SONDERZAHLUNGEN!$E$9:$E$128,SONDERZAHLUNGEN!$B$9:$B$128,C1296,SONDERZAHLUNGEN!$C$9:$C$128,A1296,SONDERZAHLUNGEN!$H$9:$H$128,"OK",SONDERZAHLUNGEN!$F$9:$F$128,"Ja")-G1296))</x:f>
      </x:c>
    </x:row>
    <x:row r="1297" ht="19" customHeight="1">
      <x:c r="A1297" s="90" t="n">
        <x:f>MONATSBUDGET!$A$71</x:f>
        <x:v>48153</x:v>
      </x:c>
      <x:c r="B1297" t="n">
        <x:f>18</x:f>
        <x:v>18</x:v>
      </x:c>
      <x:c r="C1297" t="str">
        <x:f>IF($N$26="","",$N$26)</x:f>
      </x:c>
      <x:c r="D1297" s="88" t="str">
        <x:f>IF(C1297="","",I1277)</x:f>
      </x:c>
      <x:c r="E1297" s="88" t="str">
        <x:f>IF(C1297="","",ROUND(D1297*$P$26/12,2))</x:f>
      </x:c>
      <x:c r="F1297" s="88" t="str">
        <x:f>IF(C1297="","",MIN(D1297+E1297,$Q$26))</x:f>
      </x:c>
      <x:c r="G1297" s="88" t="str">
        <x:f>IF(C1297="","",MIN(MAX(0,D1297+E1297-F1297),SUMIFS(SONDERZAHLUNGEN!$E$9:$E$128,SONDERZAHLUNGEN!$B$9:$B$128,C1297,SONDERZAHLUNGEN!$C$9:$C$128,A1297,SONDERZAHLUNGEN!$H$9:$H$128,"OK",SONDERZAHLUNGEN!$F$9:$F$128,"Ja")))</x:f>
      </x:c>
      <x:c r="H1297" s="88" t="str">
        <x:f>IF(C1297="","",MIN(MAX(0,D1297+E1297-F1297-G1297),MAX(0,IF(MONATSBUDGET!$C$71="",0,MONATSBUDGET!$C$71)-SUM(F1280:F1299)-SUM(H1280:H1296))))</x:f>
      </x:c>
      <x:c r="I1297" s="88" t="str">
        <x:f>IF(C1297="","",MAX(0,ROUND(D1297+E1297-F1297-G1297-H1297,2)))</x:f>
      </x:c>
      <x:c r="J1297" s="88" t="str">
        <x:f>IF(C1297="","",F1297+G1297+H1297)</x:f>
      </x:c>
      <x:c r="K1297" s="88" t="str">
        <x:f>IF(C1297="","",MAX(0,SUMIFS(SONDERZAHLUNGEN!$E$9:$E$128,SONDERZAHLUNGEN!$B$9:$B$128,C1297,SONDERZAHLUNGEN!$C$9:$C$128,A1297,SONDERZAHLUNGEN!$H$9:$H$128,"OK",SONDERZAHLUNGEN!$F$9:$F$128,"Ja")-G1297))</x:f>
      </x:c>
    </x:row>
    <x:row r="1298" ht="19" customHeight="1">
      <x:c r="A1298" s="90" t="n">
        <x:f>MONATSBUDGET!$A$71</x:f>
        <x:v>48153</x:v>
      </x:c>
      <x:c r="B1298" t="n">
        <x:f>19</x:f>
        <x:v>19</x:v>
      </x:c>
      <x:c r="C1298" t="str">
        <x:f>IF($N$27="","",$N$27)</x:f>
      </x:c>
      <x:c r="D1298" s="88" t="str">
        <x:f>IF(C1298="","",I1278)</x:f>
      </x:c>
      <x:c r="E1298" s="88" t="str">
        <x:f>IF(C1298="","",ROUND(D1298*$P$27/12,2))</x:f>
      </x:c>
      <x:c r="F1298" s="88" t="str">
        <x:f>IF(C1298="","",MIN(D1298+E1298,$Q$27))</x:f>
      </x:c>
      <x:c r="G1298" s="88" t="str">
        <x:f>IF(C1298="","",MIN(MAX(0,D1298+E1298-F1298),SUMIFS(SONDERZAHLUNGEN!$E$9:$E$128,SONDERZAHLUNGEN!$B$9:$B$128,C1298,SONDERZAHLUNGEN!$C$9:$C$128,A1298,SONDERZAHLUNGEN!$H$9:$H$128,"OK",SONDERZAHLUNGEN!$F$9:$F$128,"Ja")))</x:f>
      </x:c>
      <x:c r="H1298" s="88" t="str">
        <x:f>IF(C1298="","",MIN(MAX(0,D1298+E1298-F1298-G1298),MAX(0,IF(MONATSBUDGET!$C$71="",0,MONATSBUDGET!$C$71)-SUM(F1280:F1299)-SUM(H1280:H1297))))</x:f>
      </x:c>
      <x:c r="I1298" s="88" t="str">
        <x:f>IF(C1298="","",MAX(0,ROUND(D1298+E1298-F1298-G1298-H1298,2)))</x:f>
      </x:c>
      <x:c r="J1298" s="88" t="str">
        <x:f>IF(C1298="","",F1298+G1298+H1298)</x:f>
      </x:c>
      <x:c r="K1298" s="88" t="str">
        <x:f>IF(C1298="","",MAX(0,SUMIFS(SONDERZAHLUNGEN!$E$9:$E$128,SONDERZAHLUNGEN!$B$9:$B$128,C1298,SONDERZAHLUNGEN!$C$9:$C$128,A1298,SONDERZAHLUNGEN!$H$9:$H$128,"OK",SONDERZAHLUNGEN!$F$9:$F$128,"Ja")-G1298))</x:f>
      </x:c>
    </x:row>
    <x:row r="1299" ht="19" customHeight="1">
      <x:c r="A1299" s="90" t="n">
        <x:f>MONATSBUDGET!$A$71</x:f>
        <x:v>48153</x:v>
      </x:c>
      <x:c r="B1299" t="n">
        <x:f>20</x:f>
        <x:v>20</x:v>
      </x:c>
      <x:c r="C1299" t="str">
        <x:f>IF($N$28="","",$N$28)</x:f>
      </x:c>
      <x:c r="D1299" s="88" t="str">
        <x:f>IF(C1299="","",I1279)</x:f>
      </x:c>
      <x:c r="E1299" s="88" t="str">
        <x:f>IF(C1299="","",ROUND(D1299*$P$28/12,2))</x:f>
      </x:c>
      <x:c r="F1299" s="88" t="str">
        <x:f>IF(C1299="","",MIN(D1299+E1299,$Q$28))</x:f>
      </x:c>
      <x:c r="G1299" s="88" t="str">
        <x:f>IF(C1299="","",MIN(MAX(0,D1299+E1299-F1299),SUMIFS(SONDERZAHLUNGEN!$E$9:$E$128,SONDERZAHLUNGEN!$B$9:$B$128,C1299,SONDERZAHLUNGEN!$C$9:$C$128,A1299,SONDERZAHLUNGEN!$H$9:$H$128,"OK",SONDERZAHLUNGEN!$F$9:$F$128,"Ja")))</x:f>
      </x:c>
      <x:c r="H1299" s="88" t="str">
        <x:f>IF(C1299="","",MIN(MAX(0,D1299+E1299-F1299-G1299),MAX(0,IF(MONATSBUDGET!$C$71="",0,MONATSBUDGET!$C$71)-SUM(F1280:F1299)-SUM(H1280:H1298))))</x:f>
      </x:c>
      <x:c r="I1299" s="88" t="str">
        <x:f>IF(C1299="","",MAX(0,ROUND(D1299+E1299-F1299-G1299-H1299,2)))</x:f>
      </x:c>
      <x:c r="J1299" s="88" t="str">
        <x:f>IF(C1299="","",F1299+G1299+H1299)</x:f>
      </x:c>
      <x:c r="K1299" s="88" t="str">
        <x:f>IF(C1299="","",MAX(0,SUMIFS(SONDERZAHLUNGEN!$E$9:$E$128,SONDERZAHLUNGEN!$B$9:$B$128,C1299,SONDERZAHLUNGEN!$C$9:$C$128,A1299,SONDERZAHLUNGEN!$H$9:$H$128,"OK",SONDERZAHLUNGEN!$F$9:$F$128,"Ja")-G1299))</x:f>
      </x:c>
    </x:row>
    <x:row r="1300" ht="19" customHeight="1">
      <x:c r="A1300" s="90" t="n">
        <x:f>MONATSBUDGET!$A$72</x:f>
        <x:v>48183</x:v>
      </x:c>
      <x:c r="B1300" t="n">
        <x:f>1</x:f>
        <x:v>1</x:v>
      </x:c>
      <x:c r="C1300" t="str">
        <x:f>IF($N$9="","",$N$9)</x:f>
      </x:c>
      <x:c r="D1300" s="88" t="str">
        <x:f>IF(C1300="","",I1280)</x:f>
      </x:c>
      <x:c r="E1300" s="88" t="str">
        <x:f>IF(C1300="","",ROUND(D1300*$P$9/12,2))</x:f>
      </x:c>
      <x:c r="F1300" s="88" t="str">
        <x:f>IF(C1300="","",MIN(D1300+E1300,$Q$9))</x:f>
      </x:c>
      <x:c r="G1300" s="88" t="str">
        <x:f>IF(C1300="","",MIN(MAX(0,D1300+E1300-F1300),SUMIFS(SONDERZAHLUNGEN!$E$9:$E$128,SONDERZAHLUNGEN!$B$9:$B$128,C1300,SONDERZAHLUNGEN!$C$9:$C$128,A1300,SONDERZAHLUNGEN!$H$9:$H$128,"OK",SONDERZAHLUNGEN!$F$9:$F$128,"Ja")))</x:f>
      </x:c>
      <x:c r="H1300" s="88" t="str">
        <x:f>IF(C1300="","",MIN(MAX(0,D1300+E1300-F1300-G1300),MAX(0,IF(MONATSBUDGET!$C$72="",0,MONATSBUDGET!$C$72)-SUM(F1300:F1319)-0)))</x:f>
      </x:c>
      <x:c r="I1300" s="88" t="str">
        <x:f>IF(C1300="","",MAX(0,ROUND(D1300+E1300-F1300-G1300-H1300,2)))</x:f>
      </x:c>
      <x:c r="J1300" s="88" t="str">
        <x:f>IF(C1300="","",F1300+G1300+H1300)</x:f>
      </x:c>
      <x:c r="K1300" s="88" t="str">
        <x:f>IF(C1300="","",MAX(0,SUMIFS(SONDERZAHLUNGEN!$E$9:$E$128,SONDERZAHLUNGEN!$B$9:$B$128,C1300,SONDERZAHLUNGEN!$C$9:$C$128,A1300,SONDERZAHLUNGEN!$H$9:$H$128,"OK",SONDERZAHLUNGEN!$F$9:$F$128,"Ja")-G1300))</x:f>
      </x:c>
    </x:row>
    <x:row r="1301" ht="19" customHeight="1">
      <x:c r="A1301" s="90" t="n">
        <x:f>MONATSBUDGET!$A$72</x:f>
        <x:v>48183</x:v>
      </x:c>
      <x:c r="B1301" t="n">
        <x:f>2</x:f>
        <x:v>2</x:v>
      </x:c>
      <x:c r="C1301" t="str">
        <x:f>IF($N$10="","",$N$10)</x:f>
      </x:c>
      <x:c r="D1301" s="88" t="str">
        <x:f>IF(C1301="","",I1281)</x:f>
      </x:c>
      <x:c r="E1301" s="88" t="str">
        <x:f>IF(C1301="","",ROUND(D1301*$P$10/12,2))</x:f>
      </x:c>
      <x:c r="F1301" s="88" t="str">
        <x:f>IF(C1301="","",MIN(D1301+E1301,$Q$10))</x:f>
      </x:c>
      <x:c r="G1301" s="88" t="str">
        <x:f>IF(C1301="","",MIN(MAX(0,D1301+E1301-F1301),SUMIFS(SONDERZAHLUNGEN!$E$9:$E$128,SONDERZAHLUNGEN!$B$9:$B$128,C1301,SONDERZAHLUNGEN!$C$9:$C$128,A1301,SONDERZAHLUNGEN!$H$9:$H$128,"OK",SONDERZAHLUNGEN!$F$9:$F$128,"Ja")))</x:f>
      </x:c>
      <x:c r="H1301" s="88" t="str">
        <x:f>IF(C1301="","",MIN(MAX(0,D1301+E1301-F1301-G1301),MAX(0,IF(MONATSBUDGET!$C$72="",0,MONATSBUDGET!$C$72)-SUM(F1300:F1319)-SUM(H1300:H1300))))</x:f>
      </x:c>
      <x:c r="I1301" s="88" t="str">
        <x:f>IF(C1301="","",MAX(0,ROUND(D1301+E1301-F1301-G1301-H1301,2)))</x:f>
      </x:c>
      <x:c r="J1301" s="88" t="str">
        <x:f>IF(C1301="","",F1301+G1301+H1301)</x:f>
      </x:c>
      <x:c r="K1301" s="88" t="str">
        <x:f>IF(C1301="","",MAX(0,SUMIFS(SONDERZAHLUNGEN!$E$9:$E$128,SONDERZAHLUNGEN!$B$9:$B$128,C1301,SONDERZAHLUNGEN!$C$9:$C$128,A1301,SONDERZAHLUNGEN!$H$9:$H$128,"OK",SONDERZAHLUNGEN!$F$9:$F$128,"Ja")-G1301))</x:f>
      </x:c>
    </x:row>
    <x:row r="1302" ht="19" customHeight="1">
      <x:c r="A1302" s="90" t="n">
        <x:f>MONATSBUDGET!$A$72</x:f>
        <x:v>48183</x:v>
      </x:c>
      <x:c r="B1302" t="n">
        <x:f>3</x:f>
        <x:v>3</x:v>
      </x:c>
      <x:c r="C1302" t="str">
        <x:f>IF($N$11="","",$N$11)</x:f>
      </x:c>
      <x:c r="D1302" s="88" t="str">
        <x:f>IF(C1302="","",I1282)</x:f>
      </x:c>
      <x:c r="E1302" s="88" t="str">
        <x:f>IF(C1302="","",ROUND(D1302*$P$11/12,2))</x:f>
      </x:c>
      <x:c r="F1302" s="88" t="str">
        <x:f>IF(C1302="","",MIN(D1302+E1302,$Q$11))</x:f>
      </x:c>
      <x:c r="G1302" s="88" t="str">
        <x:f>IF(C1302="","",MIN(MAX(0,D1302+E1302-F1302),SUMIFS(SONDERZAHLUNGEN!$E$9:$E$128,SONDERZAHLUNGEN!$B$9:$B$128,C1302,SONDERZAHLUNGEN!$C$9:$C$128,A1302,SONDERZAHLUNGEN!$H$9:$H$128,"OK",SONDERZAHLUNGEN!$F$9:$F$128,"Ja")))</x:f>
      </x:c>
      <x:c r="H1302" s="88" t="str">
        <x:f>IF(C1302="","",MIN(MAX(0,D1302+E1302-F1302-G1302),MAX(0,IF(MONATSBUDGET!$C$72="",0,MONATSBUDGET!$C$72)-SUM(F1300:F1319)-SUM(H1300:H1301))))</x:f>
      </x:c>
      <x:c r="I1302" s="88" t="str">
        <x:f>IF(C1302="","",MAX(0,ROUND(D1302+E1302-F1302-G1302-H1302,2)))</x:f>
      </x:c>
      <x:c r="J1302" s="88" t="str">
        <x:f>IF(C1302="","",F1302+G1302+H1302)</x:f>
      </x:c>
      <x:c r="K1302" s="88" t="str">
        <x:f>IF(C1302="","",MAX(0,SUMIFS(SONDERZAHLUNGEN!$E$9:$E$128,SONDERZAHLUNGEN!$B$9:$B$128,C1302,SONDERZAHLUNGEN!$C$9:$C$128,A1302,SONDERZAHLUNGEN!$H$9:$H$128,"OK",SONDERZAHLUNGEN!$F$9:$F$128,"Ja")-G1302))</x:f>
      </x:c>
    </x:row>
    <x:row r="1303" ht="19" customHeight="1">
      <x:c r="A1303" s="90" t="n">
        <x:f>MONATSBUDGET!$A$72</x:f>
        <x:v>48183</x:v>
      </x:c>
      <x:c r="B1303" t="n">
        <x:f>4</x:f>
        <x:v>4</x:v>
      </x:c>
      <x:c r="C1303" t="str">
        <x:f>IF($N$12="","",$N$12)</x:f>
      </x:c>
      <x:c r="D1303" s="88" t="str">
        <x:f>IF(C1303="","",I1283)</x:f>
      </x:c>
      <x:c r="E1303" s="88" t="str">
        <x:f>IF(C1303="","",ROUND(D1303*$P$12/12,2))</x:f>
      </x:c>
      <x:c r="F1303" s="88" t="str">
        <x:f>IF(C1303="","",MIN(D1303+E1303,$Q$12))</x:f>
      </x:c>
      <x:c r="G1303" s="88" t="str">
        <x:f>IF(C1303="","",MIN(MAX(0,D1303+E1303-F1303),SUMIFS(SONDERZAHLUNGEN!$E$9:$E$128,SONDERZAHLUNGEN!$B$9:$B$128,C1303,SONDERZAHLUNGEN!$C$9:$C$128,A1303,SONDERZAHLUNGEN!$H$9:$H$128,"OK",SONDERZAHLUNGEN!$F$9:$F$128,"Ja")))</x:f>
      </x:c>
      <x:c r="H1303" s="88" t="str">
        <x:f>IF(C1303="","",MIN(MAX(0,D1303+E1303-F1303-G1303),MAX(0,IF(MONATSBUDGET!$C$72="",0,MONATSBUDGET!$C$72)-SUM(F1300:F1319)-SUM(H1300:H1302))))</x:f>
      </x:c>
      <x:c r="I1303" s="88" t="str">
        <x:f>IF(C1303="","",MAX(0,ROUND(D1303+E1303-F1303-G1303-H1303,2)))</x:f>
      </x:c>
      <x:c r="J1303" s="88" t="str">
        <x:f>IF(C1303="","",F1303+G1303+H1303)</x:f>
      </x:c>
      <x:c r="K1303" s="88" t="str">
        <x:f>IF(C1303="","",MAX(0,SUMIFS(SONDERZAHLUNGEN!$E$9:$E$128,SONDERZAHLUNGEN!$B$9:$B$128,C1303,SONDERZAHLUNGEN!$C$9:$C$128,A1303,SONDERZAHLUNGEN!$H$9:$H$128,"OK",SONDERZAHLUNGEN!$F$9:$F$128,"Ja")-G1303))</x:f>
      </x:c>
    </x:row>
    <x:row r="1304" ht="19" customHeight="1">
      <x:c r="A1304" s="90" t="n">
        <x:f>MONATSBUDGET!$A$72</x:f>
        <x:v>48183</x:v>
      </x:c>
      <x:c r="B1304" t="n">
        <x:f>5</x:f>
        <x:v>5</x:v>
      </x:c>
      <x:c r="C1304" t="str">
        <x:f>IF($N$13="","",$N$13)</x:f>
      </x:c>
      <x:c r="D1304" s="88" t="str">
        <x:f>IF(C1304="","",I1284)</x:f>
      </x:c>
      <x:c r="E1304" s="88" t="str">
        <x:f>IF(C1304="","",ROUND(D1304*$P$13/12,2))</x:f>
      </x:c>
      <x:c r="F1304" s="88" t="str">
        <x:f>IF(C1304="","",MIN(D1304+E1304,$Q$13))</x:f>
      </x:c>
      <x:c r="G1304" s="88" t="str">
        <x:f>IF(C1304="","",MIN(MAX(0,D1304+E1304-F1304),SUMIFS(SONDERZAHLUNGEN!$E$9:$E$128,SONDERZAHLUNGEN!$B$9:$B$128,C1304,SONDERZAHLUNGEN!$C$9:$C$128,A1304,SONDERZAHLUNGEN!$H$9:$H$128,"OK",SONDERZAHLUNGEN!$F$9:$F$128,"Ja")))</x:f>
      </x:c>
      <x:c r="H1304" s="88" t="str">
        <x:f>IF(C1304="","",MIN(MAX(0,D1304+E1304-F1304-G1304),MAX(0,IF(MONATSBUDGET!$C$72="",0,MONATSBUDGET!$C$72)-SUM(F1300:F1319)-SUM(H1300:H1303))))</x:f>
      </x:c>
      <x:c r="I1304" s="88" t="str">
        <x:f>IF(C1304="","",MAX(0,ROUND(D1304+E1304-F1304-G1304-H1304,2)))</x:f>
      </x:c>
      <x:c r="J1304" s="88" t="str">
        <x:f>IF(C1304="","",F1304+G1304+H1304)</x:f>
      </x:c>
      <x:c r="K1304" s="88" t="str">
        <x:f>IF(C1304="","",MAX(0,SUMIFS(SONDERZAHLUNGEN!$E$9:$E$128,SONDERZAHLUNGEN!$B$9:$B$128,C1304,SONDERZAHLUNGEN!$C$9:$C$128,A1304,SONDERZAHLUNGEN!$H$9:$H$128,"OK",SONDERZAHLUNGEN!$F$9:$F$128,"Ja")-G1304))</x:f>
      </x:c>
    </x:row>
    <x:row r="1305" ht="19" customHeight="1">
      <x:c r="A1305" s="90" t="n">
        <x:f>MONATSBUDGET!$A$72</x:f>
        <x:v>48183</x:v>
      </x:c>
      <x:c r="B1305" t="n">
        <x:f>6</x:f>
        <x:v>6</x:v>
      </x:c>
      <x:c r="C1305" t="str">
        <x:f>IF($N$14="","",$N$14)</x:f>
      </x:c>
      <x:c r="D1305" s="88" t="str">
        <x:f>IF(C1305="","",I1285)</x:f>
      </x:c>
      <x:c r="E1305" s="88" t="str">
        <x:f>IF(C1305="","",ROUND(D1305*$P$14/12,2))</x:f>
      </x:c>
      <x:c r="F1305" s="88" t="str">
        <x:f>IF(C1305="","",MIN(D1305+E1305,$Q$14))</x:f>
      </x:c>
      <x:c r="G1305" s="88" t="str">
        <x:f>IF(C1305="","",MIN(MAX(0,D1305+E1305-F1305),SUMIFS(SONDERZAHLUNGEN!$E$9:$E$128,SONDERZAHLUNGEN!$B$9:$B$128,C1305,SONDERZAHLUNGEN!$C$9:$C$128,A1305,SONDERZAHLUNGEN!$H$9:$H$128,"OK",SONDERZAHLUNGEN!$F$9:$F$128,"Ja")))</x:f>
      </x:c>
      <x:c r="H1305" s="88" t="str">
        <x:f>IF(C1305="","",MIN(MAX(0,D1305+E1305-F1305-G1305),MAX(0,IF(MONATSBUDGET!$C$72="",0,MONATSBUDGET!$C$72)-SUM(F1300:F1319)-SUM(H1300:H1304))))</x:f>
      </x:c>
      <x:c r="I1305" s="88" t="str">
        <x:f>IF(C1305="","",MAX(0,ROUND(D1305+E1305-F1305-G1305-H1305,2)))</x:f>
      </x:c>
      <x:c r="J1305" s="88" t="str">
        <x:f>IF(C1305="","",F1305+G1305+H1305)</x:f>
      </x:c>
      <x:c r="K1305" s="88" t="str">
        <x:f>IF(C1305="","",MAX(0,SUMIFS(SONDERZAHLUNGEN!$E$9:$E$128,SONDERZAHLUNGEN!$B$9:$B$128,C1305,SONDERZAHLUNGEN!$C$9:$C$128,A1305,SONDERZAHLUNGEN!$H$9:$H$128,"OK",SONDERZAHLUNGEN!$F$9:$F$128,"Ja")-G1305))</x:f>
      </x:c>
    </x:row>
    <x:row r="1306" ht="19" customHeight="1">
      <x:c r="A1306" s="90" t="n">
        <x:f>MONATSBUDGET!$A$72</x:f>
        <x:v>48183</x:v>
      </x:c>
      <x:c r="B1306" t="n">
        <x:f>7</x:f>
        <x:v>7</x:v>
      </x:c>
      <x:c r="C1306" t="str">
        <x:f>IF($N$15="","",$N$15)</x:f>
      </x:c>
      <x:c r="D1306" s="88" t="str">
        <x:f>IF(C1306="","",I1286)</x:f>
      </x:c>
      <x:c r="E1306" s="88" t="str">
        <x:f>IF(C1306="","",ROUND(D1306*$P$15/12,2))</x:f>
      </x:c>
      <x:c r="F1306" s="88" t="str">
        <x:f>IF(C1306="","",MIN(D1306+E1306,$Q$15))</x:f>
      </x:c>
      <x:c r="G1306" s="88" t="str">
        <x:f>IF(C1306="","",MIN(MAX(0,D1306+E1306-F1306),SUMIFS(SONDERZAHLUNGEN!$E$9:$E$128,SONDERZAHLUNGEN!$B$9:$B$128,C1306,SONDERZAHLUNGEN!$C$9:$C$128,A1306,SONDERZAHLUNGEN!$H$9:$H$128,"OK",SONDERZAHLUNGEN!$F$9:$F$128,"Ja")))</x:f>
      </x:c>
      <x:c r="H1306" s="88" t="str">
        <x:f>IF(C1306="","",MIN(MAX(0,D1306+E1306-F1306-G1306),MAX(0,IF(MONATSBUDGET!$C$72="",0,MONATSBUDGET!$C$72)-SUM(F1300:F1319)-SUM(H1300:H1305))))</x:f>
      </x:c>
      <x:c r="I1306" s="88" t="str">
        <x:f>IF(C1306="","",MAX(0,ROUND(D1306+E1306-F1306-G1306-H1306,2)))</x:f>
      </x:c>
      <x:c r="J1306" s="88" t="str">
        <x:f>IF(C1306="","",F1306+G1306+H1306)</x:f>
      </x:c>
      <x:c r="K1306" s="88" t="str">
        <x:f>IF(C1306="","",MAX(0,SUMIFS(SONDERZAHLUNGEN!$E$9:$E$128,SONDERZAHLUNGEN!$B$9:$B$128,C1306,SONDERZAHLUNGEN!$C$9:$C$128,A1306,SONDERZAHLUNGEN!$H$9:$H$128,"OK",SONDERZAHLUNGEN!$F$9:$F$128,"Ja")-G1306))</x:f>
      </x:c>
    </x:row>
    <x:row r="1307" ht="19" customHeight="1">
      <x:c r="A1307" s="90" t="n">
        <x:f>MONATSBUDGET!$A$72</x:f>
        <x:v>48183</x:v>
      </x:c>
      <x:c r="B1307" t="n">
        <x:f>8</x:f>
        <x:v>8</x:v>
      </x:c>
      <x:c r="C1307" t="str">
        <x:f>IF($N$16="","",$N$16)</x:f>
      </x:c>
      <x:c r="D1307" s="88" t="str">
        <x:f>IF(C1307="","",I1287)</x:f>
      </x:c>
      <x:c r="E1307" s="88" t="str">
        <x:f>IF(C1307="","",ROUND(D1307*$P$16/12,2))</x:f>
      </x:c>
      <x:c r="F1307" s="88" t="str">
        <x:f>IF(C1307="","",MIN(D1307+E1307,$Q$16))</x:f>
      </x:c>
      <x:c r="G1307" s="88" t="str">
        <x:f>IF(C1307="","",MIN(MAX(0,D1307+E1307-F1307),SUMIFS(SONDERZAHLUNGEN!$E$9:$E$128,SONDERZAHLUNGEN!$B$9:$B$128,C1307,SONDERZAHLUNGEN!$C$9:$C$128,A1307,SONDERZAHLUNGEN!$H$9:$H$128,"OK",SONDERZAHLUNGEN!$F$9:$F$128,"Ja")))</x:f>
      </x:c>
      <x:c r="H1307" s="88" t="str">
        <x:f>IF(C1307="","",MIN(MAX(0,D1307+E1307-F1307-G1307),MAX(0,IF(MONATSBUDGET!$C$72="",0,MONATSBUDGET!$C$72)-SUM(F1300:F1319)-SUM(H1300:H1306))))</x:f>
      </x:c>
      <x:c r="I1307" s="88" t="str">
        <x:f>IF(C1307="","",MAX(0,ROUND(D1307+E1307-F1307-G1307-H1307,2)))</x:f>
      </x:c>
      <x:c r="J1307" s="88" t="str">
        <x:f>IF(C1307="","",F1307+G1307+H1307)</x:f>
      </x:c>
      <x:c r="K1307" s="88" t="str">
        <x:f>IF(C1307="","",MAX(0,SUMIFS(SONDERZAHLUNGEN!$E$9:$E$128,SONDERZAHLUNGEN!$B$9:$B$128,C1307,SONDERZAHLUNGEN!$C$9:$C$128,A1307,SONDERZAHLUNGEN!$H$9:$H$128,"OK",SONDERZAHLUNGEN!$F$9:$F$128,"Ja")-G1307))</x:f>
      </x:c>
    </x:row>
    <x:row r="1308" ht="19" customHeight="1">
      <x:c r="A1308" s="90" t="n">
        <x:f>MONATSBUDGET!$A$72</x:f>
        <x:v>48183</x:v>
      </x:c>
      <x:c r="B1308" t="n">
        <x:f>9</x:f>
        <x:v>9</x:v>
      </x:c>
      <x:c r="C1308" t="str">
        <x:f>IF($N$17="","",$N$17)</x:f>
      </x:c>
      <x:c r="D1308" s="88" t="str">
        <x:f>IF(C1308="","",I1288)</x:f>
      </x:c>
      <x:c r="E1308" s="88" t="str">
        <x:f>IF(C1308="","",ROUND(D1308*$P$17/12,2))</x:f>
      </x:c>
      <x:c r="F1308" s="88" t="str">
        <x:f>IF(C1308="","",MIN(D1308+E1308,$Q$17))</x:f>
      </x:c>
      <x:c r="G1308" s="88" t="str">
        <x:f>IF(C1308="","",MIN(MAX(0,D1308+E1308-F1308),SUMIFS(SONDERZAHLUNGEN!$E$9:$E$128,SONDERZAHLUNGEN!$B$9:$B$128,C1308,SONDERZAHLUNGEN!$C$9:$C$128,A1308,SONDERZAHLUNGEN!$H$9:$H$128,"OK",SONDERZAHLUNGEN!$F$9:$F$128,"Ja")))</x:f>
      </x:c>
      <x:c r="H1308" s="88" t="str">
        <x:f>IF(C1308="","",MIN(MAX(0,D1308+E1308-F1308-G1308),MAX(0,IF(MONATSBUDGET!$C$72="",0,MONATSBUDGET!$C$72)-SUM(F1300:F1319)-SUM(H1300:H1307))))</x:f>
      </x:c>
      <x:c r="I1308" s="88" t="str">
        <x:f>IF(C1308="","",MAX(0,ROUND(D1308+E1308-F1308-G1308-H1308,2)))</x:f>
      </x:c>
      <x:c r="J1308" s="88" t="str">
        <x:f>IF(C1308="","",F1308+G1308+H1308)</x:f>
      </x:c>
      <x:c r="K1308" s="88" t="str">
        <x:f>IF(C1308="","",MAX(0,SUMIFS(SONDERZAHLUNGEN!$E$9:$E$128,SONDERZAHLUNGEN!$B$9:$B$128,C1308,SONDERZAHLUNGEN!$C$9:$C$128,A1308,SONDERZAHLUNGEN!$H$9:$H$128,"OK",SONDERZAHLUNGEN!$F$9:$F$128,"Ja")-G1308))</x:f>
      </x:c>
    </x:row>
    <x:row r="1309" ht="19" customHeight="1">
      <x:c r="A1309" s="90" t="n">
        <x:f>MONATSBUDGET!$A$72</x:f>
        <x:v>48183</x:v>
      </x:c>
      <x:c r="B1309" t="n">
        <x:f>10</x:f>
        <x:v>10</x:v>
      </x:c>
      <x:c r="C1309" t="str">
        <x:f>IF($N$18="","",$N$18)</x:f>
      </x:c>
      <x:c r="D1309" s="88" t="str">
        <x:f>IF(C1309="","",I1289)</x:f>
      </x:c>
      <x:c r="E1309" s="88" t="str">
        <x:f>IF(C1309="","",ROUND(D1309*$P$18/12,2))</x:f>
      </x:c>
      <x:c r="F1309" s="88" t="str">
        <x:f>IF(C1309="","",MIN(D1309+E1309,$Q$18))</x:f>
      </x:c>
      <x:c r="G1309" s="88" t="str">
        <x:f>IF(C1309="","",MIN(MAX(0,D1309+E1309-F1309),SUMIFS(SONDERZAHLUNGEN!$E$9:$E$128,SONDERZAHLUNGEN!$B$9:$B$128,C1309,SONDERZAHLUNGEN!$C$9:$C$128,A1309,SONDERZAHLUNGEN!$H$9:$H$128,"OK",SONDERZAHLUNGEN!$F$9:$F$128,"Ja")))</x:f>
      </x:c>
      <x:c r="H1309" s="88" t="str">
        <x:f>IF(C1309="","",MIN(MAX(0,D1309+E1309-F1309-G1309),MAX(0,IF(MONATSBUDGET!$C$72="",0,MONATSBUDGET!$C$72)-SUM(F1300:F1319)-SUM(H1300:H1308))))</x:f>
      </x:c>
      <x:c r="I1309" s="88" t="str">
        <x:f>IF(C1309="","",MAX(0,ROUND(D1309+E1309-F1309-G1309-H1309,2)))</x:f>
      </x:c>
      <x:c r="J1309" s="88" t="str">
        <x:f>IF(C1309="","",F1309+G1309+H1309)</x:f>
      </x:c>
      <x:c r="K1309" s="88" t="str">
        <x:f>IF(C1309="","",MAX(0,SUMIFS(SONDERZAHLUNGEN!$E$9:$E$128,SONDERZAHLUNGEN!$B$9:$B$128,C1309,SONDERZAHLUNGEN!$C$9:$C$128,A1309,SONDERZAHLUNGEN!$H$9:$H$128,"OK",SONDERZAHLUNGEN!$F$9:$F$128,"Ja")-G1309))</x:f>
      </x:c>
    </x:row>
    <x:row r="1310" ht="19" customHeight="1">
      <x:c r="A1310" s="90" t="n">
        <x:f>MONATSBUDGET!$A$72</x:f>
        <x:v>48183</x:v>
      </x:c>
      <x:c r="B1310" t="n">
        <x:f>11</x:f>
        <x:v>11</x:v>
      </x:c>
      <x:c r="C1310" t="str">
        <x:f>IF($N$19="","",$N$19)</x:f>
      </x:c>
      <x:c r="D1310" s="88" t="str">
        <x:f>IF(C1310="","",I1290)</x:f>
      </x:c>
      <x:c r="E1310" s="88" t="str">
        <x:f>IF(C1310="","",ROUND(D1310*$P$19/12,2))</x:f>
      </x:c>
      <x:c r="F1310" s="88" t="str">
        <x:f>IF(C1310="","",MIN(D1310+E1310,$Q$19))</x:f>
      </x:c>
      <x:c r="G1310" s="88" t="str">
        <x:f>IF(C1310="","",MIN(MAX(0,D1310+E1310-F1310),SUMIFS(SONDERZAHLUNGEN!$E$9:$E$128,SONDERZAHLUNGEN!$B$9:$B$128,C1310,SONDERZAHLUNGEN!$C$9:$C$128,A1310,SONDERZAHLUNGEN!$H$9:$H$128,"OK",SONDERZAHLUNGEN!$F$9:$F$128,"Ja")))</x:f>
      </x:c>
      <x:c r="H1310" s="88" t="str">
        <x:f>IF(C1310="","",MIN(MAX(0,D1310+E1310-F1310-G1310),MAX(0,IF(MONATSBUDGET!$C$72="",0,MONATSBUDGET!$C$72)-SUM(F1300:F1319)-SUM(H1300:H1309))))</x:f>
      </x:c>
      <x:c r="I1310" s="88" t="str">
        <x:f>IF(C1310="","",MAX(0,ROUND(D1310+E1310-F1310-G1310-H1310,2)))</x:f>
      </x:c>
      <x:c r="J1310" s="88" t="str">
        <x:f>IF(C1310="","",F1310+G1310+H1310)</x:f>
      </x:c>
      <x:c r="K1310" s="88" t="str">
        <x:f>IF(C1310="","",MAX(0,SUMIFS(SONDERZAHLUNGEN!$E$9:$E$128,SONDERZAHLUNGEN!$B$9:$B$128,C1310,SONDERZAHLUNGEN!$C$9:$C$128,A1310,SONDERZAHLUNGEN!$H$9:$H$128,"OK",SONDERZAHLUNGEN!$F$9:$F$128,"Ja")-G1310))</x:f>
      </x:c>
    </x:row>
    <x:row r="1311" ht="19" customHeight="1">
      <x:c r="A1311" s="90" t="n">
        <x:f>MONATSBUDGET!$A$72</x:f>
        <x:v>48183</x:v>
      </x:c>
      <x:c r="B1311" t="n">
        <x:f>12</x:f>
        <x:v>12</x:v>
      </x:c>
      <x:c r="C1311" t="str">
        <x:f>IF($N$20="","",$N$20)</x:f>
      </x:c>
      <x:c r="D1311" s="88" t="str">
        <x:f>IF(C1311="","",I1291)</x:f>
      </x:c>
      <x:c r="E1311" s="88" t="str">
        <x:f>IF(C1311="","",ROUND(D1311*$P$20/12,2))</x:f>
      </x:c>
      <x:c r="F1311" s="88" t="str">
        <x:f>IF(C1311="","",MIN(D1311+E1311,$Q$20))</x:f>
      </x:c>
      <x:c r="G1311" s="88" t="str">
        <x:f>IF(C1311="","",MIN(MAX(0,D1311+E1311-F1311),SUMIFS(SONDERZAHLUNGEN!$E$9:$E$128,SONDERZAHLUNGEN!$B$9:$B$128,C1311,SONDERZAHLUNGEN!$C$9:$C$128,A1311,SONDERZAHLUNGEN!$H$9:$H$128,"OK",SONDERZAHLUNGEN!$F$9:$F$128,"Ja")))</x:f>
      </x:c>
      <x:c r="H1311" s="88" t="str">
        <x:f>IF(C1311="","",MIN(MAX(0,D1311+E1311-F1311-G1311),MAX(0,IF(MONATSBUDGET!$C$72="",0,MONATSBUDGET!$C$72)-SUM(F1300:F1319)-SUM(H1300:H1310))))</x:f>
      </x:c>
      <x:c r="I1311" s="88" t="str">
        <x:f>IF(C1311="","",MAX(0,ROUND(D1311+E1311-F1311-G1311-H1311,2)))</x:f>
      </x:c>
      <x:c r="J1311" s="88" t="str">
        <x:f>IF(C1311="","",F1311+G1311+H1311)</x:f>
      </x:c>
      <x:c r="K1311" s="88" t="str">
        <x:f>IF(C1311="","",MAX(0,SUMIFS(SONDERZAHLUNGEN!$E$9:$E$128,SONDERZAHLUNGEN!$B$9:$B$128,C1311,SONDERZAHLUNGEN!$C$9:$C$128,A1311,SONDERZAHLUNGEN!$H$9:$H$128,"OK",SONDERZAHLUNGEN!$F$9:$F$128,"Ja")-G1311))</x:f>
      </x:c>
    </x:row>
    <x:row r="1312" ht="19" customHeight="1">
      <x:c r="A1312" s="90" t="n">
        <x:f>MONATSBUDGET!$A$72</x:f>
        <x:v>48183</x:v>
      </x:c>
      <x:c r="B1312" t="n">
        <x:f>13</x:f>
        <x:v>13</x:v>
      </x:c>
      <x:c r="C1312" t="str">
        <x:f>IF($N$21="","",$N$21)</x:f>
      </x:c>
      <x:c r="D1312" s="88" t="str">
        <x:f>IF(C1312="","",I1292)</x:f>
      </x:c>
      <x:c r="E1312" s="88" t="str">
        <x:f>IF(C1312="","",ROUND(D1312*$P$21/12,2))</x:f>
      </x:c>
      <x:c r="F1312" s="88" t="str">
        <x:f>IF(C1312="","",MIN(D1312+E1312,$Q$21))</x:f>
      </x:c>
      <x:c r="G1312" s="88" t="str">
        <x:f>IF(C1312="","",MIN(MAX(0,D1312+E1312-F1312),SUMIFS(SONDERZAHLUNGEN!$E$9:$E$128,SONDERZAHLUNGEN!$B$9:$B$128,C1312,SONDERZAHLUNGEN!$C$9:$C$128,A1312,SONDERZAHLUNGEN!$H$9:$H$128,"OK",SONDERZAHLUNGEN!$F$9:$F$128,"Ja")))</x:f>
      </x:c>
      <x:c r="H1312" s="88" t="str">
        <x:f>IF(C1312="","",MIN(MAX(0,D1312+E1312-F1312-G1312),MAX(0,IF(MONATSBUDGET!$C$72="",0,MONATSBUDGET!$C$72)-SUM(F1300:F1319)-SUM(H1300:H1311))))</x:f>
      </x:c>
      <x:c r="I1312" s="88" t="str">
        <x:f>IF(C1312="","",MAX(0,ROUND(D1312+E1312-F1312-G1312-H1312,2)))</x:f>
      </x:c>
      <x:c r="J1312" s="88" t="str">
        <x:f>IF(C1312="","",F1312+G1312+H1312)</x:f>
      </x:c>
      <x:c r="K1312" s="88" t="str">
        <x:f>IF(C1312="","",MAX(0,SUMIFS(SONDERZAHLUNGEN!$E$9:$E$128,SONDERZAHLUNGEN!$B$9:$B$128,C1312,SONDERZAHLUNGEN!$C$9:$C$128,A1312,SONDERZAHLUNGEN!$H$9:$H$128,"OK",SONDERZAHLUNGEN!$F$9:$F$128,"Ja")-G1312))</x:f>
      </x:c>
    </x:row>
    <x:row r="1313" ht="19" customHeight="1">
      <x:c r="A1313" s="90" t="n">
        <x:f>MONATSBUDGET!$A$72</x:f>
        <x:v>48183</x:v>
      </x:c>
      <x:c r="B1313" t="n">
        <x:f>14</x:f>
        <x:v>14</x:v>
      </x:c>
      <x:c r="C1313" t="str">
        <x:f>IF($N$22="","",$N$22)</x:f>
      </x:c>
      <x:c r="D1313" s="88" t="str">
        <x:f>IF(C1313="","",I1293)</x:f>
      </x:c>
      <x:c r="E1313" s="88" t="str">
        <x:f>IF(C1313="","",ROUND(D1313*$P$22/12,2))</x:f>
      </x:c>
      <x:c r="F1313" s="88" t="str">
        <x:f>IF(C1313="","",MIN(D1313+E1313,$Q$22))</x:f>
      </x:c>
      <x:c r="G1313" s="88" t="str">
        <x:f>IF(C1313="","",MIN(MAX(0,D1313+E1313-F1313),SUMIFS(SONDERZAHLUNGEN!$E$9:$E$128,SONDERZAHLUNGEN!$B$9:$B$128,C1313,SONDERZAHLUNGEN!$C$9:$C$128,A1313,SONDERZAHLUNGEN!$H$9:$H$128,"OK",SONDERZAHLUNGEN!$F$9:$F$128,"Ja")))</x:f>
      </x:c>
      <x:c r="H1313" s="88" t="str">
        <x:f>IF(C1313="","",MIN(MAX(0,D1313+E1313-F1313-G1313),MAX(0,IF(MONATSBUDGET!$C$72="",0,MONATSBUDGET!$C$72)-SUM(F1300:F1319)-SUM(H1300:H1312))))</x:f>
      </x:c>
      <x:c r="I1313" s="88" t="str">
        <x:f>IF(C1313="","",MAX(0,ROUND(D1313+E1313-F1313-G1313-H1313,2)))</x:f>
      </x:c>
      <x:c r="J1313" s="88" t="str">
        <x:f>IF(C1313="","",F1313+G1313+H1313)</x:f>
      </x:c>
      <x:c r="K1313" s="88" t="str">
        <x:f>IF(C1313="","",MAX(0,SUMIFS(SONDERZAHLUNGEN!$E$9:$E$128,SONDERZAHLUNGEN!$B$9:$B$128,C1313,SONDERZAHLUNGEN!$C$9:$C$128,A1313,SONDERZAHLUNGEN!$H$9:$H$128,"OK",SONDERZAHLUNGEN!$F$9:$F$128,"Ja")-G1313))</x:f>
      </x:c>
    </x:row>
    <x:row r="1314" ht="19" customHeight="1">
      <x:c r="A1314" s="90" t="n">
        <x:f>MONATSBUDGET!$A$72</x:f>
        <x:v>48183</x:v>
      </x:c>
      <x:c r="B1314" t="n">
        <x:f>15</x:f>
        <x:v>15</x:v>
      </x:c>
      <x:c r="C1314" t="str">
        <x:f>IF($N$23="","",$N$23)</x:f>
      </x:c>
      <x:c r="D1314" s="88" t="str">
        <x:f>IF(C1314="","",I1294)</x:f>
      </x:c>
      <x:c r="E1314" s="88" t="str">
        <x:f>IF(C1314="","",ROUND(D1314*$P$23/12,2))</x:f>
      </x:c>
      <x:c r="F1314" s="88" t="str">
        <x:f>IF(C1314="","",MIN(D1314+E1314,$Q$23))</x:f>
      </x:c>
      <x:c r="G1314" s="88" t="str">
        <x:f>IF(C1314="","",MIN(MAX(0,D1314+E1314-F1314),SUMIFS(SONDERZAHLUNGEN!$E$9:$E$128,SONDERZAHLUNGEN!$B$9:$B$128,C1314,SONDERZAHLUNGEN!$C$9:$C$128,A1314,SONDERZAHLUNGEN!$H$9:$H$128,"OK",SONDERZAHLUNGEN!$F$9:$F$128,"Ja")))</x:f>
      </x:c>
      <x:c r="H1314" s="88" t="str">
        <x:f>IF(C1314="","",MIN(MAX(0,D1314+E1314-F1314-G1314),MAX(0,IF(MONATSBUDGET!$C$72="",0,MONATSBUDGET!$C$72)-SUM(F1300:F1319)-SUM(H1300:H1313))))</x:f>
      </x:c>
      <x:c r="I1314" s="88" t="str">
        <x:f>IF(C1314="","",MAX(0,ROUND(D1314+E1314-F1314-G1314-H1314,2)))</x:f>
      </x:c>
      <x:c r="J1314" s="88" t="str">
        <x:f>IF(C1314="","",F1314+G1314+H1314)</x:f>
      </x:c>
      <x:c r="K1314" s="88" t="str">
        <x:f>IF(C1314="","",MAX(0,SUMIFS(SONDERZAHLUNGEN!$E$9:$E$128,SONDERZAHLUNGEN!$B$9:$B$128,C1314,SONDERZAHLUNGEN!$C$9:$C$128,A1314,SONDERZAHLUNGEN!$H$9:$H$128,"OK",SONDERZAHLUNGEN!$F$9:$F$128,"Ja")-G1314))</x:f>
      </x:c>
    </x:row>
    <x:row r="1315" ht="19" customHeight="1">
      <x:c r="A1315" s="90" t="n">
        <x:f>MONATSBUDGET!$A$72</x:f>
        <x:v>48183</x:v>
      </x:c>
      <x:c r="B1315" t="n">
        <x:f>16</x:f>
        <x:v>16</x:v>
      </x:c>
      <x:c r="C1315" t="str">
        <x:f>IF($N$24="","",$N$24)</x:f>
      </x:c>
      <x:c r="D1315" s="88" t="str">
        <x:f>IF(C1315="","",I1295)</x:f>
      </x:c>
      <x:c r="E1315" s="88" t="str">
        <x:f>IF(C1315="","",ROUND(D1315*$P$24/12,2))</x:f>
      </x:c>
      <x:c r="F1315" s="88" t="str">
        <x:f>IF(C1315="","",MIN(D1315+E1315,$Q$24))</x:f>
      </x:c>
      <x:c r="G1315" s="88" t="str">
        <x:f>IF(C1315="","",MIN(MAX(0,D1315+E1315-F1315),SUMIFS(SONDERZAHLUNGEN!$E$9:$E$128,SONDERZAHLUNGEN!$B$9:$B$128,C1315,SONDERZAHLUNGEN!$C$9:$C$128,A1315,SONDERZAHLUNGEN!$H$9:$H$128,"OK",SONDERZAHLUNGEN!$F$9:$F$128,"Ja")))</x:f>
      </x:c>
      <x:c r="H1315" s="88" t="str">
        <x:f>IF(C1315="","",MIN(MAX(0,D1315+E1315-F1315-G1315),MAX(0,IF(MONATSBUDGET!$C$72="",0,MONATSBUDGET!$C$72)-SUM(F1300:F1319)-SUM(H1300:H1314))))</x:f>
      </x:c>
      <x:c r="I1315" s="88" t="str">
        <x:f>IF(C1315="","",MAX(0,ROUND(D1315+E1315-F1315-G1315-H1315,2)))</x:f>
      </x:c>
      <x:c r="J1315" s="88" t="str">
        <x:f>IF(C1315="","",F1315+G1315+H1315)</x:f>
      </x:c>
      <x:c r="K1315" s="88" t="str">
        <x:f>IF(C1315="","",MAX(0,SUMIFS(SONDERZAHLUNGEN!$E$9:$E$128,SONDERZAHLUNGEN!$B$9:$B$128,C1315,SONDERZAHLUNGEN!$C$9:$C$128,A1315,SONDERZAHLUNGEN!$H$9:$H$128,"OK",SONDERZAHLUNGEN!$F$9:$F$128,"Ja")-G1315))</x:f>
      </x:c>
    </x:row>
    <x:row r="1316" ht="19" customHeight="1">
      <x:c r="A1316" s="90" t="n">
        <x:f>MONATSBUDGET!$A$72</x:f>
        <x:v>48183</x:v>
      </x:c>
      <x:c r="B1316" t="n">
        <x:f>17</x:f>
        <x:v>17</x:v>
      </x:c>
      <x:c r="C1316" t="str">
        <x:f>IF($N$25="","",$N$25)</x:f>
      </x:c>
      <x:c r="D1316" s="88" t="str">
        <x:f>IF(C1316="","",I1296)</x:f>
      </x:c>
      <x:c r="E1316" s="88" t="str">
        <x:f>IF(C1316="","",ROUND(D1316*$P$25/12,2))</x:f>
      </x:c>
      <x:c r="F1316" s="88" t="str">
        <x:f>IF(C1316="","",MIN(D1316+E1316,$Q$25))</x:f>
      </x:c>
      <x:c r="G1316" s="88" t="str">
        <x:f>IF(C1316="","",MIN(MAX(0,D1316+E1316-F1316),SUMIFS(SONDERZAHLUNGEN!$E$9:$E$128,SONDERZAHLUNGEN!$B$9:$B$128,C1316,SONDERZAHLUNGEN!$C$9:$C$128,A1316,SONDERZAHLUNGEN!$H$9:$H$128,"OK",SONDERZAHLUNGEN!$F$9:$F$128,"Ja")))</x:f>
      </x:c>
      <x:c r="H1316" s="88" t="str">
        <x:f>IF(C1316="","",MIN(MAX(0,D1316+E1316-F1316-G1316),MAX(0,IF(MONATSBUDGET!$C$72="",0,MONATSBUDGET!$C$72)-SUM(F1300:F1319)-SUM(H1300:H1315))))</x:f>
      </x:c>
      <x:c r="I1316" s="88" t="str">
        <x:f>IF(C1316="","",MAX(0,ROUND(D1316+E1316-F1316-G1316-H1316,2)))</x:f>
      </x:c>
      <x:c r="J1316" s="88" t="str">
        <x:f>IF(C1316="","",F1316+G1316+H1316)</x:f>
      </x:c>
      <x:c r="K1316" s="88" t="str">
        <x:f>IF(C1316="","",MAX(0,SUMIFS(SONDERZAHLUNGEN!$E$9:$E$128,SONDERZAHLUNGEN!$B$9:$B$128,C1316,SONDERZAHLUNGEN!$C$9:$C$128,A1316,SONDERZAHLUNGEN!$H$9:$H$128,"OK",SONDERZAHLUNGEN!$F$9:$F$128,"Ja")-G1316))</x:f>
      </x:c>
    </x:row>
    <x:row r="1317" ht="19" customHeight="1">
      <x:c r="A1317" s="90" t="n">
        <x:f>MONATSBUDGET!$A$72</x:f>
        <x:v>48183</x:v>
      </x:c>
      <x:c r="B1317" t="n">
        <x:f>18</x:f>
        <x:v>18</x:v>
      </x:c>
      <x:c r="C1317" t="str">
        <x:f>IF($N$26="","",$N$26)</x:f>
      </x:c>
      <x:c r="D1317" s="88" t="str">
        <x:f>IF(C1317="","",I1297)</x:f>
      </x:c>
      <x:c r="E1317" s="88" t="str">
        <x:f>IF(C1317="","",ROUND(D1317*$P$26/12,2))</x:f>
      </x:c>
      <x:c r="F1317" s="88" t="str">
        <x:f>IF(C1317="","",MIN(D1317+E1317,$Q$26))</x:f>
      </x:c>
      <x:c r="G1317" s="88" t="str">
        <x:f>IF(C1317="","",MIN(MAX(0,D1317+E1317-F1317),SUMIFS(SONDERZAHLUNGEN!$E$9:$E$128,SONDERZAHLUNGEN!$B$9:$B$128,C1317,SONDERZAHLUNGEN!$C$9:$C$128,A1317,SONDERZAHLUNGEN!$H$9:$H$128,"OK",SONDERZAHLUNGEN!$F$9:$F$128,"Ja")))</x:f>
      </x:c>
      <x:c r="H1317" s="88" t="str">
        <x:f>IF(C1317="","",MIN(MAX(0,D1317+E1317-F1317-G1317),MAX(0,IF(MONATSBUDGET!$C$72="",0,MONATSBUDGET!$C$72)-SUM(F1300:F1319)-SUM(H1300:H1316))))</x:f>
      </x:c>
      <x:c r="I1317" s="88" t="str">
        <x:f>IF(C1317="","",MAX(0,ROUND(D1317+E1317-F1317-G1317-H1317,2)))</x:f>
      </x:c>
      <x:c r="J1317" s="88" t="str">
        <x:f>IF(C1317="","",F1317+G1317+H1317)</x:f>
      </x:c>
      <x:c r="K1317" s="88" t="str">
        <x:f>IF(C1317="","",MAX(0,SUMIFS(SONDERZAHLUNGEN!$E$9:$E$128,SONDERZAHLUNGEN!$B$9:$B$128,C1317,SONDERZAHLUNGEN!$C$9:$C$128,A1317,SONDERZAHLUNGEN!$H$9:$H$128,"OK",SONDERZAHLUNGEN!$F$9:$F$128,"Ja")-G1317))</x:f>
      </x:c>
    </x:row>
    <x:row r="1318" ht="19" customHeight="1">
      <x:c r="A1318" s="90" t="n">
        <x:f>MONATSBUDGET!$A$72</x:f>
        <x:v>48183</x:v>
      </x:c>
      <x:c r="B1318" t="n">
        <x:f>19</x:f>
        <x:v>19</x:v>
      </x:c>
      <x:c r="C1318" t="str">
        <x:f>IF($N$27="","",$N$27)</x:f>
      </x:c>
      <x:c r="D1318" s="88" t="str">
        <x:f>IF(C1318="","",I1298)</x:f>
      </x:c>
      <x:c r="E1318" s="88" t="str">
        <x:f>IF(C1318="","",ROUND(D1318*$P$27/12,2))</x:f>
      </x:c>
      <x:c r="F1318" s="88" t="str">
        <x:f>IF(C1318="","",MIN(D1318+E1318,$Q$27))</x:f>
      </x:c>
      <x:c r="G1318" s="88" t="str">
        <x:f>IF(C1318="","",MIN(MAX(0,D1318+E1318-F1318),SUMIFS(SONDERZAHLUNGEN!$E$9:$E$128,SONDERZAHLUNGEN!$B$9:$B$128,C1318,SONDERZAHLUNGEN!$C$9:$C$128,A1318,SONDERZAHLUNGEN!$H$9:$H$128,"OK",SONDERZAHLUNGEN!$F$9:$F$128,"Ja")))</x:f>
      </x:c>
      <x:c r="H1318" s="88" t="str">
        <x:f>IF(C1318="","",MIN(MAX(0,D1318+E1318-F1318-G1318),MAX(0,IF(MONATSBUDGET!$C$72="",0,MONATSBUDGET!$C$72)-SUM(F1300:F1319)-SUM(H1300:H1317))))</x:f>
      </x:c>
      <x:c r="I1318" s="88" t="str">
        <x:f>IF(C1318="","",MAX(0,ROUND(D1318+E1318-F1318-G1318-H1318,2)))</x:f>
      </x:c>
      <x:c r="J1318" s="88" t="str">
        <x:f>IF(C1318="","",F1318+G1318+H1318)</x:f>
      </x:c>
      <x:c r="K1318" s="88" t="str">
        <x:f>IF(C1318="","",MAX(0,SUMIFS(SONDERZAHLUNGEN!$E$9:$E$128,SONDERZAHLUNGEN!$B$9:$B$128,C1318,SONDERZAHLUNGEN!$C$9:$C$128,A1318,SONDERZAHLUNGEN!$H$9:$H$128,"OK",SONDERZAHLUNGEN!$F$9:$F$128,"Ja")-G1318))</x:f>
      </x:c>
    </x:row>
    <x:row r="1319" ht="19" customHeight="1">
      <x:c r="A1319" s="90" t="n">
        <x:f>MONATSBUDGET!$A$72</x:f>
        <x:v>48183</x:v>
      </x:c>
      <x:c r="B1319" t="n">
        <x:f>20</x:f>
        <x:v>20</x:v>
      </x:c>
      <x:c r="C1319" t="str">
        <x:f>IF($N$28="","",$N$28)</x:f>
      </x:c>
      <x:c r="D1319" s="88" t="str">
        <x:f>IF(C1319="","",I1299)</x:f>
      </x:c>
      <x:c r="E1319" s="88" t="str">
        <x:f>IF(C1319="","",ROUND(D1319*$P$28/12,2))</x:f>
      </x:c>
      <x:c r="F1319" s="88" t="str">
        <x:f>IF(C1319="","",MIN(D1319+E1319,$Q$28))</x:f>
      </x:c>
      <x:c r="G1319" s="88" t="str">
        <x:f>IF(C1319="","",MIN(MAX(0,D1319+E1319-F1319),SUMIFS(SONDERZAHLUNGEN!$E$9:$E$128,SONDERZAHLUNGEN!$B$9:$B$128,C1319,SONDERZAHLUNGEN!$C$9:$C$128,A1319,SONDERZAHLUNGEN!$H$9:$H$128,"OK",SONDERZAHLUNGEN!$F$9:$F$128,"Ja")))</x:f>
      </x:c>
      <x:c r="H1319" s="88" t="str">
        <x:f>IF(C1319="","",MIN(MAX(0,D1319+E1319-F1319-G1319),MAX(0,IF(MONATSBUDGET!$C$72="",0,MONATSBUDGET!$C$72)-SUM(F1300:F1319)-SUM(H1300:H1318))))</x:f>
      </x:c>
      <x:c r="I1319" s="88" t="str">
        <x:f>IF(C1319="","",MAX(0,ROUND(D1319+E1319-F1319-G1319-H1319,2)))</x:f>
      </x:c>
      <x:c r="J1319" s="88" t="str">
        <x:f>IF(C1319="","",F1319+G1319+H1319)</x:f>
      </x:c>
      <x:c r="K1319" s="88" t="str">
        <x:f>IF(C1319="","",MAX(0,SUMIFS(SONDERZAHLUNGEN!$E$9:$E$128,SONDERZAHLUNGEN!$B$9:$B$128,C1319,SONDERZAHLUNGEN!$C$9:$C$128,A1319,SONDERZAHLUNGEN!$H$9:$H$128,"OK",SONDERZAHLUNGEN!$F$9:$F$128,"Ja")-G1319))</x:f>
      </x:c>
    </x:row>
    <x:row r="1320" ht="19" customHeight="1">
      <x:c r="A1320" s="90" t="n">
        <x:f>MONATSBUDGET!$A$73</x:f>
        <x:v>48214</x:v>
      </x:c>
      <x:c r="B1320" t="n">
        <x:f>1</x:f>
        <x:v>1</x:v>
      </x:c>
      <x:c r="C1320" t="str">
        <x:f>IF($N$9="","",$N$9)</x:f>
      </x:c>
      <x:c r="D1320" s="88" t="str">
        <x:f>IF(C1320="","",I1300)</x:f>
      </x:c>
      <x:c r="E1320" s="88" t="str">
        <x:f>IF(C1320="","",ROUND(D1320*$P$9/12,2))</x:f>
      </x:c>
      <x:c r="F1320" s="88" t="str">
        <x:f>IF(C1320="","",MIN(D1320+E1320,$Q$9))</x:f>
      </x:c>
      <x:c r="G1320" s="88" t="str">
        <x:f>IF(C1320="","",MIN(MAX(0,D1320+E1320-F1320),SUMIFS(SONDERZAHLUNGEN!$E$9:$E$128,SONDERZAHLUNGEN!$B$9:$B$128,C1320,SONDERZAHLUNGEN!$C$9:$C$128,A1320,SONDERZAHLUNGEN!$H$9:$H$128,"OK",SONDERZAHLUNGEN!$F$9:$F$128,"Ja")))</x:f>
      </x:c>
      <x:c r="H1320" s="88" t="str">
        <x:f>IF(C1320="","",MIN(MAX(0,D1320+E1320-F1320-G1320),MAX(0,IF(MONATSBUDGET!$C$73="",0,MONATSBUDGET!$C$73)-SUM(F1320:F1339)-0)))</x:f>
      </x:c>
      <x:c r="I1320" s="88" t="str">
        <x:f>IF(C1320="","",MAX(0,ROUND(D1320+E1320-F1320-G1320-H1320,2)))</x:f>
      </x:c>
      <x:c r="J1320" s="88" t="str">
        <x:f>IF(C1320="","",F1320+G1320+H1320)</x:f>
      </x:c>
      <x:c r="K1320" s="88" t="str">
        <x:f>IF(C1320="","",MAX(0,SUMIFS(SONDERZAHLUNGEN!$E$9:$E$128,SONDERZAHLUNGEN!$B$9:$B$128,C1320,SONDERZAHLUNGEN!$C$9:$C$128,A1320,SONDERZAHLUNGEN!$H$9:$H$128,"OK",SONDERZAHLUNGEN!$F$9:$F$128,"Ja")-G1320))</x:f>
      </x:c>
    </x:row>
    <x:row r="1321" ht="19" customHeight="1">
      <x:c r="A1321" s="90" t="n">
        <x:f>MONATSBUDGET!$A$73</x:f>
        <x:v>48214</x:v>
      </x:c>
      <x:c r="B1321" t="n">
        <x:f>2</x:f>
        <x:v>2</x:v>
      </x:c>
      <x:c r="C1321" t="str">
        <x:f>IF($N$10="","",$N$10)</x:f>
      </x:c>
      <x:c r="D1321" s="88" t="str">
        <x:f>IF(C1321="","",I1301)</x:f>
      </x:c>
      <x:c r="E1321" s="88" t="str">
        <x:f>IF(C1321="","",ROUND(D1321*$P$10/12,2))</x:f>
      </x:c>
      <x:c r="F1321" s="88" t="str">
        <x:f>IF(C1321="","",MIN(D1321+E1321,$Q$10))</x:f>
      </x:c>
      <x:c r="G1321" s="88" t="str">
        <x:f>IF(C1321="","",MIN(MAX(0,D1321+E1321-F1321),SUMIFS(SONDERZAHLUNGEN!$E$9:$E$128,SONDERZAHLUNGEN!$B$9:$B$128,C1321,SONDERZAHLUNGEN!$C$9:$C$128,A1321,SONDERZAHLUNGEN!$H$9:$H$128,"OK",SONDERZAHLUNGEN!$F$9:$F$128,"Ja")))</x:f>
      </x:c>
      <x:c r="H1321" s="88" t="str">
        <x:f>IF(C1321="","",MIN(MAX(0,D1321+E1321-F1321-G1321),MAX(0,IF(MONATSBUDGET!$C$73="",0,MONATSBUDGET!$C$73)-SUM(F1320:F1339)-SUM(H1320:H1320))))</x:f>
      </x:c>
      <x:c r="I1321" s="88" t="str">
        <x:f>IF(C1321="","",MAX(0,ROUND(D1321+E1321-F1321-G1321-H1321,2)))</x:f>
      </x:c>
      <x:c r="J1321" s="88" t="str">
        <x:f>IF(C1321="","",F1321+G1321+H1321)</x:f>
      </x:c>
      <x:c r="K1321" s="88" t="str">
        <x:f>IF(C1321="","",MAX(0,SUMIFS(SONDERZAHLUNGEN!$E$9:$E$128,SONDERZAHLUNGEN!$B$9:$B$128,C1321,SONDERZAHLUNGEN!$C$9:$C$128,A1321,SONDERZAHLUNGEN!$H$9:$H$128,"OK",SONDERZAHLUNGEN!$F$9:$F$128,"Ja")-G1321))</x:f>
      </x:c>
    </x:row>
    <x:row r="1322" ht="19" customHeight="1">
      <x:c r="A1322" s="90" t="n">
        <x:f>MONATSBUDGET!$A$73</x:f>
        <x:v>48214</x:v>
      </x:c>
      <x:c r="B1322" t="n">
        <x:f>3</x:f>
        <x:v>3</x:v>
      </x:c>
      <x:c r="C1322" t="str">
        <x:f>IF($N$11="","",$N$11)</x:f>
      </x:c>
      <x:c r="D1322" s="88" t="str">
        <x:f>IF(C1322="","",I1302)</x:f>
      </x:c>
      <x:c r="E1322" s="88" t="str">
        <x:f>IF(C1322="","",ROUND(D1322*$P$11/12,2))</x:f>
      </x:c>
      <x:c r="F1322" s="88" t="str">
        <x:f>IF(C1322="","",MIN(D1322+E1322,$Q$11))</x:f>
      </x:c>
      <x:c r="G1322" s="88" t="str">
        <x:f>IF(C1322="","",MIN(MAX(0,D1322+E1322-F1322),SUMIFS(SONDERZAHLUNGEN!$E$9:$E$128,SONDERZAHLUNGEN!$B$9:$B$128,C1322,SONDERZAHLUNGEN!$C$9:$C$128,A1322,SONDERZAHLUNGEN!$H$9:$H$128,"OK",SONDERZAHLUNGEN!$F$9:$F$128,"Ja")))</x:f>
      </x:c>
      <x:c r="H1322" s="88" t="str">
        <x:f>IF(C1322="","",MIN(MAX(0,D1322+E1322-F1322-G1322),MAX(0,IF(MONATSBUDGET!$C$73="",0,MONATSBUDGET!$C$73)-SUM(F1320:F1339)-SUM(H1320:H1321))))</x:f>
      </x:c>
      <x:c r="I1322" s="88" t="str">
        <x:f>IF(C1322="","",MAX(0,ROUND(D1322+E1322-F1322-G1322-H1322,2)))</x:f>
      </x:c>
      <x:c r="J1322" s="88" t="str">
        <x:f>IF(C1322="","",F1322+G1322+H1322)</x:f>
      </x:c>
      <x:c r="K1322" s="88" t="str">
        <x:f>IF(C1322="","",MAX(0,SUMIFS(SONDERZAHLUNGEN!$E$9:$E$128,SONDERZAHLUNGEN!$B$9:$B$128,C1322,SONDERZAHLUNGEN!$C$9:$C$128,A1322,SONDERZAHLUNGEN!$H$9:$H$128,"OK",SONDERZAHLUNGEN!$F$9:$F$128,"Ja")-G1322))</x:f>
      </x:c>
    </x:row>
    <x:row r="1323" ht="19" customHeight="1">
      <x:c r="A1323" s="90" t="n">
        <x:f>MONATSBUDGET!$A$73</x:f>
        <x:v>48214</x:v>
      </x:c>
      <x:c r="B1323" t="n">
        <x:f>4</x:f>
        <x:v>4</x:v>
      </x:c>
      <x:c r="C1323" t="str">
        <x:f>IF($N$12="","",$N$12)</x:f>
      </x:c>
      <x:c r="D1323" s="88" t="str">
        <x:f>IF(C1323="","",I1303)</x:f>
      </x:c>
      <x:c r="E1323" s="88" t="str">
        <x:f>IF(C1323="","",ROUND(D1323*$P$12/12,2))</x:f>
      </x:c>
      <x:c r="F1323" s="88" t="str">
        <x:f>IF(C1323="","",MIN(D1323+E1323,$Q$12))</x:f>
      </x:c>
      <x:c r="G1323" s="88" t="str">
        <x:f>IF(C1323="","",MIN(MAX(0,D1323+E1323-F1323),SUMIFS(SONDERZAHLUNGEN!$E$9:$E$128,SONDERZAHLUNGEN!$B$9:$B$128,C1323,SONDERZAHLUNGEN!$C$9:$C$128,A1323,SONDERZAHLUNGEN!$H$9:$H$128,"OK",SONDERZAHLUNGEN!$F$9:$F$128,"Ja")))</x:f>
      </x:c>
      <x:c r="H1323" s="88" t="str">
        <x:f>IF(C1323="","",MIN(MAX(0,D1323+E1323-F1323-G1323),MAX(0,IF(MONATSBUDGET!$C$73="",0,MONATSBUDGET!$C$73)-SUM(F1320:F1339)-SUM(H1320:H1322))))</x:f>
      </x:c>
      <x:c r="I1323" s="88" t="str">
        <x:f>IF(C1323="","",MAX(0,ROUND(D1323+E1323-F1323-G1323-H1323,2)))</x:f>
      </x:c>
      <x:c r="J1323" s="88" t="str">
        <x:f>IF(C1323="","",F1323+G1323+H1323)</x:f>
      </x:c>
      <x:c r="K1323" s="88" t="str">
        <x:f>IF(C1323="","",MAX(0,SUMIFS(SONDERZAHLUNGEN!$E$9:$E$128,SONDERZAHLUNGEN!$B$9:$B$128,C1323,SONDERZAHLUNGEN!$C$9:$C$128,A1323,SONDERZAHLUNGEN!$H$9:$H$128,"OK",SONDERZAHLUNGEN!$F$9:$F$128,"Ja")-G1323))</x:f>
      </x:c>
    </x:row>
    <x:row r="1324" ht="19" customHeight="1">
      <x:c r="A1324" s="90" t="n">
        <x:f>MONATSBUDGET!$A$73</x:f>
        <x:v>48214</x:v>
      </x:c>
      <x:c r="B1324" t="n">
        <x:f>5</x:f>
        <x:v>5</x:v>
      </x:c>
      <x:c r="C1324" t="str">
        <x:f>IF($N$13="","",$N$13)</x:f>
      </x:c>
      <x:c r="D1324" s="88" t="str">
        <x:f>IF(C1324="","",I1304)</x:f>
      </x:c>
      <x:c r="E1324" s="88" t="str">
        <x:f>IF(C1324="","",ROUND(D1324*$P$13/12,2))</x:f>
      </x:c>
      <x:c r="F1324" s="88" t="str">
        <x:f>IF(C1324="","",MIN(D1324+E1324,$Q$13))</x:f>
      </x:c>
      <x:c r="G1324" s="88" t="str">
        <x:f>IF(C1324="","",MIN(MAX(0,D1324+E1324-F1324),SUMIFS(SONDERZAHLUNGEN!$E$9:$E$128,SONDERZAHLUNGEN!$B$9:$B$128,C1324,SONDERZAHLUNGEN!$C$9:$C$128,A1324,SONDERZAHLUNGEN!$H$9:$H$128,"OK",SONDERZAHLUNGEN!$F$9:$F$128,"Ja")))</x:f>
      </x:c>
      <x:c r="H1324" s="88" t="str">
        <x:f>IF(C1324="","",MIN(MAX(0,D1324+E1324-F1324-G1324),MAX(0,IF(MONATSBUDGET!$C$73="",0,MONATSBUDGET!$C$73)-SUM(F1320:F1339)-SUM(H1320:H1323))))</x:f>
      </x:c>
      <x:c r="I1324" s="88" t="str">
        <x:f>IF(C1324="","",MAX(0,ROUND(D1324+E1324-F1324-G1324-H1324,2)))</x:f>
      </x:c>
      <x:c r="J1324" s="88" t="str">
        <x:f>IF(C1324="","",F1324+G1324+H1324)</x:f>
      </x:c>
      <x:c r="K1324" s="88" t="str">
        <x:f>IF(C1324="","",MAX(0,SUMIFS(SONDERZAHLUNGEN!$E$9:$E$128,SONDERZAHLUNGEN!$B$9:$B$128,C1324,SONDERZAHLUNGEN!$C$9:$C$128,A1324,SONDERZAHLUNGEN!$H$9:$H$128,"OK",SONDERZAHLUNGEN!$F$9:$F$128,"Ja")-G1324))</x:f>
      </x:c>
    </x:row>
    <x:row r="1325" ht="19" customHeight="1">
      <x:c r="A1325" s="90" t="n">
        <x:f>MONATSBUDGET!$A$73</x:f>
        <x:v>48214</x:v>
      </x:c>
      <x:c r="B1325" t="n">
        <x:f>6</x:f>
        <x:v>6</x:v>
      </x:c>
      <x:c r="C1325" t="str">
        <x:f>IF($N$14="","",$N$14)</x:f>
      </x:c>
      <x:c r="D1325" s="88" t="str">
        <x:f>IF(C1325="","",I1305)</x:f>
      </x:c>
      <x:c r="E1325" s="88" t="str">
        <x:f>IF(C1325="","",ROUND(D1325*$P$14/12,2))</x:f>
      </x:c>
      <x:c r="F1325" s="88" t="str">
        <x:f>IF(C1325="","",MIN(D1325+E1325,$Q$14))</x:f>
      </x:c>
      <x:c r="G1325" s="88" t="str">
        <x:f>IF(C1325="","",MIN(MAX(0,D1325+E1325-F1325),SUMIFS(SONDERZAHLUNGEN!$E$9:$E$128,SONDERZAHLUNGEN!$B$9:$B$128,C1325,SONDERZAHLUNGEN!$C$9:$C$128,A1325,SONDERZAHLUNGEN!$H$9:$H$128,"OK",SONDERZAHLUNGEN!$F$9:$F$128,"Ja")))</x:f>
      </x:c>
      <x:c r="H1325" s="88" t="str">
        <x:f>IF(C1325="","",MIN(MAX(0,D1325+E1325-F1325-G1325),MAX(0,IF(MONATSBUDGET!$C$73="",0,MONATSBUDGET!$C$73)-SUM(F1320:F1339)-SUM(H1320:H1324))))</x:f>
      </x:c>
      <x:c r="I1325" s="88" t="str">
        <x:f>IF(C1325="","",MAX(0,ROUND(D1325+E1325-F1325-G1325-H1325,2)))</x:f>
      </x:c>
      <x:c r="J1325" s="88" t="str">
        <x:f>IF(C1325="","",F1325+G1325+H1325)</x:f>
      </x:c>
      <x:c r="K1325" s="88" t="str">
        <x:f>IF(C1325="","",MAX(0,SUMIFS(SONDERZAHLUNGEN!$E$9:$E$128,SONDERZAHLUNGEN!$B$9:$B$128,C1325,SONDERZAHLUNGEN!$C$9:$C$128,A1325,SONDERZAHLUNGEN!$H$9:$H$128,"OK",SONDERZAHLUNGEN!$F$9:$F$128,"Ja")-G1325))</x:f>
      </x:c>
    </x:row>
    <x:row r="1326" ht="19" customHeight="1">
      <x:c r="A1326" s="90" t="n">
        <x:f>MONATSBUDGET!$A$73</x:f>
        <x:v>48214</x:v>
      </x:c>
      <x:c r="B1326" t="n">
        <x:f>7</x:f>
        <x:v>7</x:v>
      </x:c>
      <x:c r="C1326" t="str">
        <x:f>IF($N$15="","",$N$15)</x:f>
      </x:c>
      <x:c r="D1326" s="88" t="str">
        <x:f>IF(C1326="","",I1306)</x:f>
      </x:c>
      <x:c r="E1326" s="88" t="str">
        <x:f>IF(C1326="","",ROUND(D1326*$P$15/12,2))</x:f>
      </x:c>
      <x:c r="F1326" s="88" t="str">
        <x:f>IF(C1326="","",MIN(D1326+E1326,$Q$15))</x:f>
      </x:c>
      <x:c r="G1326" s="88" t="str">
        <x:f>IF(C1326="","",MIN(MAX(0,D1326+E1326-F1326),SUMIFS(SONDERZAHLUNGEN!$E$9:$E$128,SONDERZAHLUNGEN!$B$9:$B$128,C1326,SONDERZAHLUNGEN!$C$9:$C$128,A1326,SONDERZAHLUNGEN!$H$9:$H$128,"OK",SONDERZAHLUNGEN!$F$9:$F$128,"Ja")))</x:f>
      </x:c>
      <x:c r="H1326" s="88" t="str">
        <x:f>IF(C1326="","",MIN(MAX(0,D1326+E1326-F1326-G1326),MAX(0,IF(MONATSBUDGET!$C$73="",0,MONATSBUDGET!$C$73)-SUM(F1320:F1339)-SUM(H1320:H1325))))</x:f>
      </x:c>
      <x:c r="I1326" s="88" t="str">
        <x:f>IF(C1326="","",MAX(0,ROUND(D1326+E1326-F1326-G1326-H1326,2)))</x:f>
      </x:c>
      <x:c r="J1326" s="88" t="str">
        <x:f>IF(C1326="","",F1326+G1326+H1326)</x:f>
      </x:c>
      <x:c r="K1326" s="88" t="str">
        <x:f>IF(C1326="","",MAX(0,SUMIFS(SONDERZAHLUNGEN!$E$9:$E$128,SONDERZAHLUNGEN!$B$9:$B$128,C1326,SONDERZAHLUNGEN!$C$9:$C$128,A1326,SONDERZAHLUNGEN!$H$9:$H$128,"OK",SONDERZAHLUNGEN!$F$9:$F$128,"Ja")-G1326))</x:f>
      </x:c>
    </x:row>
    <x:row r="1327" ht="19" customHeight="1">
      <x:c r="A1327" s="90" t="n">
        <x:f>MONATSBUDGET!$A$73</x:f>
        <x:v>48214</x:v>
      </x:c>
      <x:c r="B1327" t="n">
        <x:f>8</x:f>
        <x:v>8</x:v>
      </x:c>
      <x:c r="C1327" t="str">
        <x:f>IF($N$16="","",$N$16)</x:f>
      </x:c>
      <x:c r="D1327" s="88" t="str">
        <x:f>IF(C1327="","",I1307)</x:f>
      </x:c>
      <x:c r="E1327" s="88" t="str">
        <x:f>IF(C1327="","",ROUND(D1327*$P$16/12,2))</x:f>
      </x:c>
      <x:c r="F1327" s="88" t="str">
        <x:f>IF(C1327="","",MIN(D1327+E1327,$Q$16))</x:f>
      </x:c>
      <x:c r="G1327" s="88" t="str">
        <x:f>IF(C1327="","",MIN(MAX(0,D1327+E1327-F1327),SUMIFS(SONDERZAHLUNGEN!$E$9:$E$128,SONDERZAHLUNGEN!$B$9:$B$128,C1327,SONDERZAHLUNGEN!$C$9:$C$128,A1327,SONDERZAHLUNGEN!$H$9:$H$128,"OK",SONDERZAHLUNGEN!$F$9:$F$128,"Ja")))</x:f>
      </x:c>
      <x:c r="H1327" s="88" t="str">
        <x:f>IF(C1327="","",MIN(MAX(0,D1327+E1327-F1327-G1327),MAX(0,IF(MONATSBUDGET!$C$73="",0,MONATSBUDGET!$C$73)-SUM(F1320:F1339)-SUM(H1320:H1326))))</x:f>
      </x:c>
      <x:c r="I1327" s="88" t="str">
        <x:f>IF(C1327="","",MAX(0,ROUND(D1327+E1327-F1327-G1327-H1327,2)))</x:f>
      </x:c>
      <x:c r="J1327" s="88" t="str">
        <x:f>IF(C1327="","",F1327+G1327+H1327)</x:f>
      </x:c>
      <x:c r="K1327" s="88" t="str">
        <x:f>IF(C1327="","",MAX(0,SUMIFS(SONDERZAHLUNGEN!$E$9:$E$128,SONDERZAHLUNGEN!$B$9:$B$128,C1327,SONDERZAHLUNGEN!$C$9:$C$128,A1327,SONDERZAHLUNGEN!$H$9:$H$128,"OK",SONDERZAHLUNGEN!$F$9:$F$128,"Ja")-G1327))</x:f>
      </x:c>
    </x:row>
    <x:row r="1328" ht="19" customHeight="1">
      <x:c r="A1328" s="90" t="n">
        <x:f>MONATSBUDGET!$A$73</x:f>
        <x:v>48214</x:v>
      </x:c>
      <x:c r="B1328" t="n">
        <x:f>9</x:f>
        <x:v>9</x:v>
      </x:c>
      <x:c r="C1328" t="str">
        <x:f>IF($N$17="","",$N$17)</x:f>
      </x:c>
      <x:c r="D1328" s="88" t="str">
        <x:f>IF(C1328="","",I1308)</x:f>
      </x:c>
      <x:c r="E1328" s="88" t="str">
        <x:f>IF(C1328="","",ROUND(D1328*$P$17/12,2))</x:f>
      </x:c>
      <x:c r="F1328" s="88" t="str">
        <x:f>IF(C1328="","",MIN(D1328+E1328,$Q$17))</x:f>
      </x:c>
      <x:c r="G1328" s="88" t="str">
        <x:f>IF(C1328="","",MIN(MAX(0,D1328+E1328-F1328),SUMIFS(SONDERZAHLUNGEN!$E$9:$E$128,SONDERZAHLUNGEN!$B$9:$B$128,C1328,SONDERZAHLUNGEN!$C$9:$C$128,A1328,SONDERZAHLUNGEN!$H$9:$H$128,"OK",SONDERZAHLUNGEN!$F$9:$F$128,"Ja")))</x:f>
      </x:c>
      <x:c r="H1328" s="88" t="str">
        <x:f>IF(C1328="","",MIN(MAX(0,D1328+E1328-F1328-G1328),MAX(0,IF(MONATSBUDGET!$C$73="",0,MONATSBUDGET!$C$73)-SUM(F1320:F1339)-SUM(H1320:H1327))))</x:f>
      </x:c>
      <x:c r="I1328" s="88" t="str">
        <x:f>IF(C1328="","",MAX(0,ROUND(D1328+E1328-F1328-G1328-H1328,2)))</x:f>
      </x:c>
      <x:c r="J1328" s="88" t="str">
        <x:f>IF(C1328="","",F1328+G1328+H1328)</x:f>
      </x:c>
      <x:c r="K1328" s="88" t="str">
        <x:f>IF(C1328="","",MAX(0,SUMIFS(SONDERZAHLUNGEN!$E$9:$E$128,SONDERZAHLUNGEN!$B$9:$B$128,C1328,SONDERZAHLUNGEN!$C$9:$C$128,A1328,SONDERZAHLUNGEN!$H$9:$H$128,"OK",SONDERZAHLUNGEN!$F$9:$F$128,"Ja")-G1328))</x:f>
      </x:c>
    </x:row>
    <x:row r="1329" ht="19" customHeight="1">
      <x:c r="A1329" s="90" t="n">
        <x:f>MONATSBUDGET!$A$73</x:f>
        <x:v>48214</x:v>
      </x:c>
      <x:c r="B1329" t="n">
        <x:f>10</x:f>
        <x:v>10</x:v>
      </x:c>
      <x:c r="C1329" t="str">
        <x:f>IF($N$18="","",$N$18)</x:f>
      </x:c>
      <x:c r="D1329" s="88" t="str">
        <x:f>IF(C1329="","",I1309)</x:f>
      </x:c>
      <x:c r="E1329" s="88" t="str">
        <x:f>IF(C1329="","",ROUND(D1329*$P$18/12,2))</x:f>
      </x:c>
      <x:c r="F1329" s="88" t="str">
        <x:f>IF(C1329="","",MIN(D1329+E1329,$Q$18))</x:f>
      </x:c>
      <x:c r="G1329" s="88" t="str">
        <x:f>IF(C1329="","",MIN(MAX(0,D1329+E1329-F1329),SUMIFS(SONDERZAHLUNGEN!$E$9:$E$128,SONDERZAHLUNGEN!$B$9:$B$128,C1329,SONDERZAHLUNGEN!$C$9:$C$128,A1329,SONDERZAHLUNGEN!$H$9:$H$128,"OK",SONDERZAHLUNGEN!$F$9:$F$128,"Ja")))</x:f>
      </x:c>
      <x:c r="H1329" s="88" t="str">
        <x:f>IF(C1329="","",MIN(MAX(0,D1329+E1329-F1329-G1329),MAX(0,IF(MONATSBUDGET!$C$73="",0,MONATSBUDGET!$C$73)-SUM(F1320:F1339)-SUM(H1320:H1328))))</x:f>
      </x:c>
      <x:c r="I1329" s="88" t="str">
        <x:f>IF(C1329="","",MAX(0,ROUND(D1329+E1329-F1329-G1329-H1329,2)))</x:f>
      </x:c>
      <x:c r="J1329" s="88" t="str">
        <x:f>IF(C1329="","",F1329+G1329+H1329)</x:f>
      </x:c>
      <x:c r="K1329" s="88" t="str">
        <x:f>IF(C1329="","",MAX(0,SUMIFS(SONDERZAHLUNGEN!$E$9:$E$128,SONDERZAHLUNGEN!$B$9:$B$128,C1329,SONDERZAHLUNGEN!$C$9:$C$128,A1329,SONDERZAHLUNGEN!$H$9:$H$128,"OK",SONDERZAHLUNGEN!$F$9:$F$128,"Ja")-G1329))</x:f>
      </x:c>
    </x:row>
    <x:row r="1330" ht="19" customHeight="1">
      <x:c r="A1330" s="90" t="n">
        <x:f>MONATSBUDGET!$A$73</x:f>
        <x:v>48214</x:v>
      </x:c>
      <x:c r="B1330" t="n">
        <x:f>11</x:f>
        <x:v>11</x:v>
      </x:c>
      <x:c r="C1330" t="str">
        <x:f>IF($N$19="","",$N$19)</x:f>
      </x:c>
      <x:c r="D1330" s="88" t="str">
        <x:f>IF(C1330="","",I1310)</x:f>
      </x:c>
      <x:c r="E1330" s="88" t="str">
        <x:f>IF(C1330="","",ROUND(D1330*$P$19/12,2))</x:f>
      </x:c>
      <x:c r="F1330" s="88" t="str">
        <x:f>IF(C1330="","",MIN(D1330+E1330,$Q$19))</x:f>
      </x:c>
      <x:c r="G1330" s="88" t="str">
        <x:f>IF(C1330="","",MIN(MAX(0,D1330+E1330-F1330),SUMIFS(SONDERZAHLUNGEN!$E$9:$E$128,SONDERZAHLUNGEN!$B$9:$B$128,C1330,SONDERZAHLUNGEN!$C$9:$C$128,A1330,SONDERZAHLUNGEN!$H$9:$H$128,"OK",SONDERZAHLUNGEN!$F$9:$F$128,"Ja")))</x:f>
      </x:c>
      <x:c r="H1330" s="88" t="str">
        <x:f>IF(C1330="","",MIN(MAX(0,D1330+E1330-F1330-G1330),MAX(0,IF(MONATSBUDGET!$C$73="",0,MONATSBUDGET!$C$73)-SUM(F1320:F1339)-SUM(H1320:H1329))))</x:f>
      </x:c>
      <x:c r="I1330" s="88" t="str">
        <x:f>IF(C1330="","",MAX(0,ROUND(D1330+E1330-F1330-G1330-H1330,2)))</x:f>
      </x:c>
      <x:c r="J1330" s="88" t="str">
        <x:f>IF(C1330="","",F1330+G1330+H1330)</x:f>
      </x:c>
      <x:c r="K1330" s="88" t="str">
        <x:f>IF(C1330="","",MAX(0,SUMIFS(SONDERZAHLUNGEN!$E$9:$E$128,SONDERZAHLUNGEN!$B$9:$B$128,C1330,SONDERZAHLUNGEN!$C$9:$C$128,A1330,SONDERZAHLUNGEN!$H$9:$H$128,"OK",SONDERZAHLUNGEN!$F$9:$F$128,"Ja")-G1330))</x:f>
      </x:c>
    </x:row>
    <x:row r="1331" ht="19" customHeight="1">
      <x:c r="A1331" s="90" t="n">
        <x:f>MONATSBUDGET!$A$73</x:f>
        <x:v>48214</x:v>
      </x:c>
      <x:c r="B1331" t="n">
        <x:f>12</x:f>
        <x:v>12</x:v>
      </x:c>
      <x:c r="C1331" t="str">
        <x:f>IF($N$20="","",$N$20)</x:f>
      </x:c>
      <x:c r="D1331" s="88" t="str">
        <x:f>IF(C1331="","",I1311)</x:f>
      </x:c>
      <x:c r="E1331" s="88" t="str">
        <x:f>IF(C1331="","",ROUND(D1331*$P$20/12,2))</x:f>
      </x:c>
      <x:c r="F1331" s="88" t="str">
        <x:f>IF(C1331="","",MIN(D1331+E1331,$Q$20))</x:f>
      </x:c>
      <x:c r="G1331" s="88" t="str">
        <x:f>IF(C1331="","",MIN(MAX(0,D1331+E1331-F1331),SUMIFS(SONDERZAHLUNGEN!$E$9:$E$128,SONDERZAHLUNGEN!$B$9:$B$128,C1331,SONDERZAHLUNGEN!$C$9:$C$128,A1331,SONDERZAHLUNGEN!$H$9:$H$128,"OK",SONDERZAHLUNGEN!$F$9:$F$128,"Ja")))</x:f>
      </x:c>
      <x:c r="H1331" s="88" t="str">
        <x:f>IF(C1331="","",MIN(MAX(0,D1331+E1331-F1331-G1331),MAX(0,IF(MONATSBUDGET!$C$73="",0,MONATSBUDGET!$C$73)-SUM(F1320:F1339)-SUM(H1320:H1330))))</x:f>
      </x:c>
      <x:c r="I1331" s="88" t="str">
        <x:f>IF(C1331="","",MAX(0,ROUND(D1331+E1331-F1331-G1331-H1331,2)))</x:f>
      </x:c>
      <x:c r="J1331" s="88" t="str">
        <x:f>IF(C1331="","",F1331+G1331+H1331)</x:f>
      </x:c>
      <x:c r="K1331" s="88" t="str">
        <x:f>IF(C1331="","",MAX(0,SUMIFS(SONDERZAHLUNGEN!$E$9:$E$128,SONDERZAHLUNGEN!$B$9:$B$128,C1331,SONDERZAHLUNGEN!$C$9:$C$128,A1331,SONDERZAHLUNGEN!$H$9:$H$128,"OK",SONDERZAHLUNGEN!$F$9:$F$128,"Ja")-G1331))</x:f>
      </x:c>
    </x:row>
    <x:row r="1332" ht="19" customHeight="1">
      <x:c r="A1332" s="90" t="n">
        <x:f>MONATSBUDGET!$A$73</x:f>
        <x:v>48214</x:v>
      </x:c>
      <x:c r="B1332" t="n">
        <x:f>13</x:f>
        <x:v>13</x:v>
      </x:c>
      <x:c r="C1332" t="str">
        <x:f>IF($N$21="","",$N$21)</x:f>
      </x:c>
      <x:c r="D1332" s="88" t="str">
        <x:f>IF(C1332="","",I1312)</x:f>
      </x:c>
      <x:c r="E1332" s="88" t="str">
        <x:f>IF(C1332="","",ROUND(D1332*$P$21/12,2))</x:f>
      </x:c>
      <x:c r="F1332" s="88" t="str">
        <x:f>IF(C1332="","",MIN(D1332+E1332,$Q$21))</x:f>
      </x:c>
      <x:c r="G1332" s="88" t="str">
        <x:f>IF(C1332="","",MIN(MAX(0,D1332+E1332-F1332),SUMIFS(SONDERZAHLUNGEN!$E$9:$E$128,SONDERZAHLUNGEN!$B$9:$B$128,C1332,SONDERZAHLUNGEN!$C$9:$C$128,A1332,SONDERZAHLUNGEN!$H$9:$H$128,"OK",SONDERZAHLUNGEN!$F$9:$F$128,"Ja")))</x:f>
      </x:c>
      <x:c r="H1332" s="88" t="str">
        <x:f>IF(C1332="","",MIN(MAX(0,D1332+E1332-F1332-G1332),MAX(0,IF(MONATSBUDGET!$C$73="",0,MONATSBUDGET!$C$73)-SUM(F1320:F1339)-SUM(H1320:H1331))))</x:f>
      </x:c>
      <x:c r="I1332" s="88" t="str">
        <x:f>IF(C1332="","",MAX(0,ROUND(D1332+E1332-F1332-G1332-H1332,2)))</x:f>
      </x:c>
      <x:c r="J1332" s="88" t="str">
        <x:f>IF(C1332="","",F1332+G1332+H1332)</x:f>
      </x:c>
      <x:c r="K1332" s="88" t="str">
        <x:f>IF(C1332="","",MAX(0,SUMIFS(SONDERZAHLUNGEN!$E$9:$E$128,SONDERZAHLUNGEN!$B$9:$B$128,C1332,SONDERZAHLUNGEN!$C$9:$C$128,A1332,SONDERZAHLUNGEN!$H$9:$H$128,"OK",SONDERZAHLUNGEN!$F$9:$F$128,"Ja")-G1332))</x:f>
      </x:c>
    </x:row>
    <x:row r="1333" ht="19" customHeight="1">
      <x:c r="A1333" s="90" t="n">
        <x:f>MONATSBUDGET!$A$73</x:f>
        <x:v>48214</x:v>
      </x:c>
      <x:c r="B1333" t="n">
        <x:f>14</x:f>
        <x:v>14</x:v>
      </x:c>
      <x:c r="C1333" t="str">
        <x:f>IF($N$22="","",$N$22)</x:f>
      </x:c>
      <x:c r="D1333" s="88" t="str">
        <x:f>IF(C1333="","",I1313)</x:f>
      </x:c>
      <x:c r="E1333" s="88" t="str">
        <x:f>IF(C1333="","",ROUND(D1333*$P$22/12,2))</x:f>
      </x:c>
      <x:c r="F1333" s="88" t="str">
        <x:f>IF(C1333="","",MIN(D1333+E1333,$Q$22))</x:f>
      </x:c>
      <x:c r="G1333" s="88" t="str">
        <x:f>IF(C1333="","",MIN(MAX(0,D1333+E1333-F1333),SUMIFS(SONDERZAHLUNGEN!$E$9:$E$128,SONDERZAHLUNGEN!$B$9:$B$128,C1333,SONDERZAHLUNGEN!$C$9:$C$128,A1333,SONDERZAHLUNGEN!$H$9:$H$128,"OK",SONDERZAHLUNGEN!$F$9:$F$128,"Ja")))</x:f>
      </x:c>
      <x:c r="H1333" s="88" t="str">
        <x:f>IF(C1333="","",MIN(MAX(0,D1333+E1333-F1333-G1333),MAX(0,IF(MONATSBUDGET!$C$73="",0,MONATSBUDGET!$C$73)-SUM(F1320:F1339)-SUM(H1320:H1332))))</x:f>
      </x:c>
      <x:c r="I1333" s="88" t="str">
        <x:f>IF(C1333="","",MAX(0,ROUND(D1333+E1333-F1333-G1333-H1333,2)))</x:f>
      </x:c>
      <x:c r="J1333" s="88" t="str">
        <x:f>IF(C1333="","",F1333+G1333+H1333)</x:f>
      </x:c>
      <x:c r="K1333" s="88" t="str">
        <x:f>IF(C1333="","",MAX(0,SUMIFS(SONDERZAHLUNGEN!$E$9:$E$128,SONDERZAHLUNGEN!$B$9:$B$128,C1333,SONDERZAHLUNGEN!$C$9:$C$128,A1333,SONDERZAHLUNGEN!$H$9:$H$128,"OK",SONDERZAHLUNGEN!$F$9:$F$128,"Ja")-G1333))</x:f>
      </x:c>
    </x:row>
    <x:row r="1334" ht="19" customHeight="1">
      <x:c r="A1334" s="90" t="n">
        <x:f>MONATSBUDGET!$A$73</x:f>
        <x:v>48214</x:v>
      </x:c>
      <x:c r="B1334" t="n">
        <x:f>15</x:f>
        <x:v>15</x:v>
      </x:c>
      <x:c r="C1334" t="str">
        <x:f>IF($N$23="","",$N$23)</x:f>
      </x:c>
      <x:c r="D1334" s="88" t="str">
        <x:f>IF(C1334="","",I1314)</x:f>
      </x:c>
      <x:c r="E1334" s="88" t="str">
        <x:f>IF(C1334="","",ROUND(D1334*$P$23/12,2))</x:f>
      </x:c>
      <x:c r="F1334" s="88" t="str">
        <x:f>IF(C1334="","",MIN(D1334+E1334,$Q$23))</x:f>
      </x:c>
      <x:c r="G1334" s="88" t="str">
        <x:f>IF(C1334="","",MIN(MAX(0,D1334+E1334-F1334),SUMIFS(SONDERZAHLUNGEN!$E$9:$E$128,SONDERZAHLUNGEN!$B$9:$B$128,C1334,SONDERZAHLUNGEN!$C$9:$C$128,A1334,SONDERZAHLUNGEN!$H$9:$H$128,"OK",SONDERZAHLUNGEN!$F$9:$F$128,"Ja")))</x:f>
      </x:c>
      <x:c r="H1334" s="88" t="str">
        <x:f>IF(C1334="","",MIN(MAX(0,D1334+E1334-F1334-G1334),MAX(0,IF(MONATSBUDGET!$C$73="",0,MONATSBUDGET!$C$73)-SUM(F1320:F1339)-SUM(H1320:H1333))))</x:f>
      </x:c>
      <x:c r="I1334" s="88" t="str">
        <x:f>IF(C1334="","",MAX(0,ROUND(D1334+E1334-F1334-G1334-H1334,2)))</x:f>
      </x:c>
      <x:c r="J1334" s="88" t="str">
        <x:f>IF(C1334="","",F1334+G1334+H1334)</x:f>
      </x:c>
      <x:c r="K1334" s="88" t="str">
        <x:f>IF(C1334="","",MAX(0,SUMIFS(SONDERZAHLUNGEN!$E$9:$E$128,SONDERZAHLUNGEN!$B$9:$B$128,C1334,SONDERZAHLUNGEN!$C$9:$C$128,A1334,SONDERZAHLUNGEN!$H$9:$H$128,"OK",SONDERZAHLUNGEN!$F$9:$F$128,"Ja")-G1334))</x:f>
      </x:c>
    </x:row>
    <x:row r="1335" ht="19" customHeight="1">
      <x:c r="A1335" s="90" t="n">
        <x:f>MONATSBUDGET!$A$73</x:f>
        <x:v>48214</x:v>
      </x:c>
      <x:c r="B1335" t="n">
        <x:f>16</x:f>
        <x:v>16</x:v>
      </x:c>
      <x:c r="C1335" t="str">
        <x:f>IF($N$24="","",$N$24)</x:f>
      </x:c>
      <x:c r="D1335" s="88" t="str">
        <x:f>IF(C1335="","",I1315)</x:f>
      </x:c>
      <x:c r="E1335" s="88" t="str">
        <x:f>IF(C1335="","",ROUND(D1335*$P$24/12,2))</x:f>
      </x:c>
      <x:c r="F1335" s="88" t="str">
        <x:f>IF(C1335="","",MIN(D1335+E1335,$Q$24))</x:f>
      </x:c>
      <x:c r="G1335" s="88" t="str">
        <x:f>IF(C1335="","",MIN(MAX(0,D1335+E1335-F1335),SUMIFS(SONDERZAHLUNGEN!$E$9:$E$128,SONDERZAHLUNGEN!$B$9:$B$128,C1335,SONDERZAHLUNGEN!$C$9:$C$128,A1335,SONDERZAHLUNGEN!$H$9:$H$128,"OK",SONDERZAHLUNGEN!$F$9:$F$128,"Ja")))</x:f>
      </x:c>
      <x:c r="H1335" s="88" t="str">
        <x:f>IF(C1335="","",MIN(MAX(0,D1335+E1335-F1335-G1335),MAX(0,IF(MONATSBUDGET!$C$73="",0,MONATSBUDGET!$C$73)-SUM(F1320:F1339)-SUM(H1320:H1334))))</x:f>
      </x:c>
      <x:c r="I1335" s="88" t="str">
        <x:f>IF(C1335="","",MAX(0,ROUND(D1335+E1335-F1335-G1335-H1335,2)))</x:f>
      </x:c>
      <x:c r="J1335" s="88" t="str">
        <x:f>IF(C1335="","",F1335+G1335+H1335)</x:f>
      </x:c>
      <x:c r="K1335" s="88" t="str">
        <x:f>IF(C1335="","",MAX(0,SUMIFS(SONDERZAHLUNGEN!$E$9:$E$128,SONDERZAHLUNGEN!$B$9:$B$128,C1335,SONDERZAHLUNGEN!$C$9:$C$128,A1335,SONDERZAHLUNGEN!$H$9:$H$128,"OK",SONDERZAHLUNGEN!$F$9:$F$128,"Ja")-G1335))</x:f>
      </x:c>
    </x:row>
    <x:row r="1336" ht="19" customHeight="1">
      <x:c r="A1336" s="90" t="n">
        <x:f>MONATSBUDGET!$A$73</x:f>
        <x:v>48214</x:v>
      </x:c>
      <x:c r="B1336" t="n">
        <x:f>17</x:f>
        <x:v>17</x:v>
      </x:c>
      <x:c r="C1336" t="str">
        <x:f>IF($N$25="","",$N$25)</x:f>
      </x:c>
      <x:c r="D1336" s="88" t="str">
        <x:f>IF(C1336="","",I1316)</x:f>
      </x:c>
      <x:c r="E1336" s="88" t="str">
        <x:f>IF(C1336="","",ROUND(D1336*$P$25/12,2))</x:f>
      </x:c>
      <x:c r="F1336" s="88" t="str">
        <x:f>IF(C1336="","",MIN(D1336+E1336,$Q$25))</x:f>
      </x:c>
      <x:c r="G1336" s="88" t="str">
        <x:f>IF(C1336="","",MIN(MAX(0,D1336+E1336-F1336),SUMIFS(SONDERZAHLUNGEN!$E$9:$E$128,SONDERZAHLUNGEN!$B$9:$B$128,C1336,SONDERZAHLUNGEN!$C$9:$C$128,A1336,SONDERZAHLUNGEN!$H$9:$H$128,"OK",SONDERZAHLUNGEN!$F$9:$F$128,"Ja")))</x:f>
      </x:c>
      <x:c r="H1336" s="88" t="str">
        <x:f>IF(C1336="","",MIN(MAX(0,D1336+E1336-F1336-G1336),MAX(0,IF(MONATSBUDGET!$C$73="",0,MONATSBUDGET!$C$73)-SUM(F1320:F1339)-SUM(H1320:H1335))))</x:f>
      </x:c>
      <x:c r="I1336" s="88" t="str">
        <x:f>IF(C1336="","",MAX(0,ROUND(D1336+E1336-F1336-G1336-H1336,2)))</x:f>
      </x:c>
      <x:c r="J1336" s="88" t="str">
        <x:f>IF(C1336="","",F1336+G1336+H1336)</x:f>
      </x:c>
      <x:c r="K1336" s="88" t="str">
        <x:f>IF(C1336="","",MAX(0,SUMIFS(SONDERZAHLUNGEN!$E$9:$E$128,SONDERZAHLUNGEN!$B$9:$B$128,C1336,SONDERZAHLUNGEN!$C$9:$C$128,A1336,SONDERZAHLUNGEN!$H$9:$H$128,"OK",SONDERZAHLUNGEN!$F$9:$F$128,"Ja")-G1336))</x:f>
      </x:c>
    </x:row>
    <x:row r="1337" ht="19" customHeight="1">
      <x:c r="A1337" s="90" t="n">
        <x:f>MONATSBUDGET!$A$73</x:f>
        <x:v>48214</x:v>
      </x:c>
      <x:c r="B1337" t="n">
        <x:f>18</x:f>
        <x:v>18</x:v>
      </x:c>
      <x:c r="C1337" t="str">
        <x:f>IF($N$26="","",$N$26)</x:f>
      </x:c>
      <x:c r="D1337" s="88" t="str">
        <x:f>IF(C1337="","",I1317)</x:f>
      </x:c>
      <x:c r="E1337" s="88" t="str">
        <x:f>IF(C1337="","",ROUND(D1337*$P$26/12,2))</x:f>
      </x:c>
      <x:c r="F1337" s="88" t="str">
        <x:f>IF(C1337="","",MIN(D1337+E1337,$Q$26))</x:f>
      </x:c>
      <x:c r="G1337" s="88" t="str">
        <x:f>IF(C1337="","",MIN(MAX(0,D1337+E1337-F1337),SUMIFS(SONDERZAHLUNGEN!$E$9:$E$128,SONDERZAHLUNGEN!$B$9:$B$128,C1337,SONDERZAHLUNGEN!$C$9:$C$128,A1337,SONDERZAHLUNGEN!$H$9:$H$128,"OK",SONDERZAHLUNGEN!$F$9:$F$128,"Ja")))</x:f>
      </x:c>
      <x:c r="H1337" s="88" t="str">
        <x:f>IF(C1337="","",MIN(MAX(0,D1337+E1337-F1337-G1337),MAX(0,IF(MONATSBUDGET!$C$73="",0,MONATSBUDGET!$C$73)-SUM(F1320:F1339)-SUM(H1320:H1336))))</x:f>
      </x:c>
      <x:c r="I1337" s="88" t="str">
        <x:f>IF(C1337="","",MAX(0,ROUND(D1337+E1337-F1337-G1337-H1337,2)))</x:f>
      </x:c>
      <x:c r="J1337" s="88" t="str">
        <x:f>IF(C1337="","",F1337+G1337+H1337)</x:f>
      </x:c>
      <x:c r="K1337" s="88" t="str">
        <x:f>IF(C1337="","",MAX(0,SUMIFS(SONDERZAHLUNGEN!$E$9:$E$128,SONDERZAHLUNGEN!$B$9:$B$128,C1337,SONDERZAHLUNGEN!$C$9:$C$128,A1337,SONDERZAHLUNGEN!$H$9:$H$128,"OK",SONDERZAHLUNGEN!$F$9:$F$128,"Ja")-G1337))</x:f>
      </x:c>
    </x:row>
    <x:row r="1338" ht="19" customHeight="1">
      <x:c r="A1338" s="90" t="n">
        <x:f>MONATSBUDGET!$A$73</x:f>
        <x:v>48214</x:v>
      </x:c>
      <x:c r="B1338" t="n">
        <x:f>19</x:f>
        <x:v>19</x:v>
      </x:c>
      <x:c r="C1338" t="str">
        <x:f>IF($N$27="","",$N$27)</x:f>
      </x:c>
      <x:c r="D1338" s="88" t="str">
        <x:f>IF(C1338="","",I1318)</x:f>
      </x:c>
      <x:c r="E1338" s="88" t="str">
        <x:f>IF(C1338="","",ROUND(D1338*$P$27/12,2))</x:f>
      </x:c>
      <x:c r="F1338" s="88" t="str">
        <x:f>IF(C1338="","",MIN(D1338+E1338,$Q$27))</x:f>
      </x:c>
      <x:c r="G1338" s="88" t="str">
        <x:f>IF(C1338="","",MIN(MAX(0,D1338+E1338-F1338),SUMIFS(SONDERZAHLUNGEN!$E$9:$E$128,SONDERZAHLUNGEN!$B$9:$B$128,C1338,SONDERZAHLUNGEN!$C$9:$C$128,A1338,SONDERZAHLUNGEN!$H$9:$H$128,"OK",SONDERZAHLUNGEN!$F$9:$F$128,"Ja")))</x:f>
      </x:c>
      <x:c r="H1338" s="88" t="str">
        <x:f>IF(C1338="","",MIN(MAX(0,D1338+E1338-F1338-G1338),MAX(0,IF(MONATSBUDGET!$C$73="",0,MONATSBUDGET!$C$73)-SUM(F1320:F1339)-SUM(H1320:H1337))))</x:f>
      </x:c>
      <x:c r="I1338" s="88" t="str">
        <x:f>IF(C1338="","",MAX(0,ROUND(D1338+E1338-F1338-G1338-H1338,2)))</x:f>
      </x:c>
      <x:c r="J1338" s="88" t="str">
        <x:f>IF(C1338="","",F1338+G1338+H1338)</x:f>
      </x:c>
      <x:c r="K1338" s="88" t="str">
        <x:f>IF(C1338="","",MAX(0,SUMIFS(SONDERZAHLUNGEN!$E$9:$E$128,SONDERZAHLUNGEN!$B$9:$B$128,C1338,SONDERZAHLUNGEN!$C$9:$C$128,A1338,SONDERZAHLUNGEN!$H$9:$H$128,"OK",SONDERZAHLUNGEN!$F$9:$F$128,"Ja")-G1338))</x:f>
      </x:c>
    </x:row>
    <x:row r="1339" ht="19" customHeight="1">
      <x:c r="A1339" s="90" t="n">
        <x:f>MONATSBUDGET!$A$73</x:f>
        <x:v>48214</x:v>
      </x:c>
      <x:c r="B1339" t="n">
        <x:f>20</x:f>
        <x:v>20</x:v>
      </x:c>
      <x:c r="C1339" t="str">
        <x:f>IF($N$28="","",$N$28)</x:f>
      </x:c>
      <x:c r="D1339" s="88" t="str">
        <x:f>IF(C1339="","",I1319)</x:f>
      </x:c>
      <x:c r="E1339" s="88" t="str">
        <x:f>IF(C1339="","",ROUND(D1339*$P$28/12,2))</x:f>
      </x:c>
      <x:c r="F1339" s="88" t="str">
        <x:f>IF(C1339="","",MIN(D1339+E1339,$Q$28))</x:f>
      </x:c>
      <x:c r="G1339" s="88" t="str">
        <x:f>IF(C1339="","",MIN(MAX(0,D1339+E1339-F1339),SUMIFS(SONDERZAHLUNGEN!$E$9:$E$128,SONDERZAHLUNGEN!$B$9:$B$128,C1339,SONDERZAHLUNGEN!$C$9:$C$128,A1339,SONDERZAHLUNGEN!$H$9:$H$128,"OK",SONDERZAHLUNGEN!$F$9:$F$128,"Ja")))</x:f>
      </x:c>
      <x:c r="H1339" s="88" t="str">
        <x:f>IF(C1339="","",MIN(MAX(0,D1339+E1339-F1339-G1339),MAX(0,IF(MONATSBUDGET!$C$73="",0,MONATSBUDGET!$C$73)-SUM(F1320:F1339)-SUM(H1320:H1338))))</x:f>
      </x:c>
      <x:c r="I1339" s="88" t="str">
        <x:f>IF(C1339="","",MAX(0,ROUND(D1339+E1339-F1339-G1339-H1339,2)))</x:f>
      </x:c>
      <x:c r="J1339" s="88" t="str">
        <x:f>IF(C1339="","",F1339+G1339+H1339)</x:f>
      </x:c>
      <x:c r="K1339" s="88" t="str">
        <x:f>IF(C1339="","",MAX(0,SUMIFS(SONDERZAHLUNGEN!$E$9:$E$128,SONDERZAHLUNGEN!$B$9:$B$128,C1339,SONDERZAHLUNGEN!$C$9:$C$128,A1339,SONDERZAHLUNGEN!$H$9:$H$128,"OK",SONDERZAHLUNGEN!$F$9:$F$128,"Ja")-G1339))</x:f>
      </x:c>
    </x:row>
    <x:row r="1340" ht="19" customHeight="1">
      <x:c r="A1340" s="90" t="n">
        <x:f>MONATSBUDGET!$A$74</x:f>
        <x:v>48245</x:v>
      </x:c>
      <x:c r="B1340" t="n">
        <x:f>1</x:f>
        <x:v>1</x:v>
      </x:c>
      <x:c r="C1340" t="str">
        <x:f>IF($N$9="","",$N$9)</x:f>
      </x:c>
      <x:c r="D1340" s="88" t="str">
        <x:f>IF(C1340="","",I1320)</x:f>
      </x:c>
      <x:c r="E1340" s="88" t="str">
        <x:f>IF(C1340="","",ROUND(D1340*$P$9/12,2))</x:f>
      </x:c>
      <x:c r="F1340" s="88" t="str">
        <x:f>IF(C1340="","",MIN(D1340+E1340,$Q$9))</x:f>
      </x:c>
      <x:c r="G1340" s="88" t="str">
        <x:f>IF(C1340="","",MIN(MAX(0,D1340+E1340-F1340),SUMIFS(SONDERZAHLUNGEN!$E$9:$E$128,SONDERZAHLUNGEN!$B$9:$B$128,C1340,SONDERZAHLUNGEN!$C$9:$C$128,A1340,SONDERZAHLUNGEN!$H$9:$H$128,"OK",SONDERZAHLUNGEN!$F$9:$F$128,"Ja")))</x:f>
      </x:c>
      <x:c r="H1340" s="88" t="str">
        <x:f>IF(C1340="","",MIN(MAX(0,D1340+E1340-F1340-G1340),MAX(0,IF(MONATSBUDGET!$C$74="",0,MONATSBUDGET!$C$74)-SUM(F1340:F1359)-0)))</x:f>
      </x:c>
      <x:c r="I1340" s="88" t="str">
        <x:f>IF(C1340="","",MAX(0,ROUND(D1340+E1340-F1340-G1340-H1340,2)))</x:f>
      </x:c>
      <x:c r="J1340" s="88" t="str">
        <x:f>IF(C1340="","",F1340+G1340+H1340)</x:f>
      </x:c>
      <x:c r="K1340" s="88" t="str">
        <x:f>IF(C1340="","",MAX(0,SUMIFS(SONDERZAHLUNGEN!$E$9:$E$128,SONDERZAHLUNGEN!$B$9:$B$128,C1340,SONDERZAHLUNGEN!$C$9:$C$128,A1340,SONDERZAHLUNGEN!$H$9:$H$128,"OK",SONDERZAHLUNGEN!$F$9:$F$128,"Ja")-G1340))</x:f>
      </x:c>
    </x:row>
    <x:row r="1341" ht="19" customHeight="1">
      <x:c r="A1341" s="90" t="n">
        <x:f>MONATSBUDGET!$A$74</x:f>
        <x:v>48245</x:v>
      </x:c>
      <x:c r="B1341" t="n">
        <x:f>2</x:f>
        <x:v>2</x:v>
      </x:c>
      <x:c r="C1341" t="str">
        <x:f>IF($N$10="","",$N$10)</x:f>
      </x:c>
      <x:c r="D1341" s="88" t="str">
        <x:f>IF(C1341="","",I1321)</x:f>
      </x:c>
      <x:c r="E1341" s="88" t="str">
        <x:f>IF(C1341="","",ROUND(D1341*$P$10/12,2))</x:f>
      </x:c>
      <x:c r="F1341" s="88" t="str">
        <x:f>IF(C1341="","",MIN(D1341+E1341,$Q$10))</x:f>
      </x:c>
      <x:c r="G1341" s="88" t="str">
        <x:f>IF(C1341="","",MIN(MAX(0,D1341+E1341-F1341),SUMIFS(SONDERZAHLUNGEN!$E$9:$E$128,SONDERZAHLUNGEN!$B$9:$B$128,C1341,SONDERZAHLUNGEN!$C$9:$C$128,A1341,SONDERZAHLUNGEN!$H$9:$H$128,"OK",SONDERZAHLUNGEN!$F$9:$F$128,"Ja")))</x:f>
      </x:c>
      <x:c r="H1341" s="88" t="str">
        <x:f>IF(C1341="","",MIN(MAX(0,D1341+E1341-F1341-G1341),MAX(0,IF(MONATSBUDGET!$C$74="",0,MONATSBUDGET!$C$74)-SUM(F1340:F1359)-SUM(H1340:H1340))))</x:f>
      </x:c>
      <x:c r="I1341" s="88" t="str">
        <x:f>IF(C1341="","",MAX(0,ROUND(D1341+E1341-F1341-G1341-H1341,2)))</x:f>
      </x:c>
      <x:c r="J1341" s="88" t="str">
        <x:f>IF(C1341="","",F1341+G1341+H1341)</x:f>
      </x:c>
      <x:c r="K1341" s="88" t="str">
        <x:f>IF(C1341="","",MAX(0,SUMIFS(SONDERZAHLUNGEN!$E$9:$E$128,SONDERZAHLUNGEN!$B$9:$B$128,C1341,SONDERZAHLUNGEN!$C$9:$C$128,A1341,SONDERZAHLUNGEN!$H$9:$H$128,"OK",SONDERZAHLUNGEN!$F$9:$F$128,"Ja")-G1341))</x:f>
      </x:c>
    </x:row>
    <x:row r="1342" ht="19" customHeight="1">
      <x:c r="A1342" s="90" t="n">
        <x:f>MONATSBUDGET!$A$74</x:f>
        <x:v>48245</x:v>
      </x:c>
      <x:c r="B1342" t="n">
        <x:f>3</x:f>
        <x:v>3</x:v>
      </x:c>
      <x:c r="C1342" t="str">
        <x:f>IF($N$11="","",$N$11)</x:f>
      </x:c>
      <x:c r="D1342" s="88" t="str">
        <x:f>IF(C1342="","",I1322)</x:f>
      </x:c>
      <x:c r="E1342" s="88" t="str">
        <x:f>IF(C1342="","",ROUND(D1342*$P$11/12,2))</x:f>
      </x:c>
      <x:c r="F1342" s="88" t="str">
        <x:f>IF(C1342="","",MIN(D1342+E1342,$Q$11))</x:f>
      </x:c>
      <x:c r="G1342" s="88" t="str">
        <x:f>IF(C1342="","",MIN(MAX(0,D1342+E1342-F1342),SUMIFS(SONDERZAHLUNGEN!$E$9:$E$128,SONDERZAHLUNGEN!$B$9:$B$128,C1342,SONDERZAHLUNGEN!$C$9:$C$128,A1342,SONDERZAHLUNGEN!$H$9:$H$128,"OK",SONDERZAHLUNGEN!$F$9:$F$128,"Ja")))</x:f>
      </x:c>
      <x:c r="H1342" s="88" t="str">
        <x:f>IF(C1342="","",MIN(MAX(0,D1342+E1342-F1342-G1342),MAX(0,IF(MONATSBUDGET!$C$74="",0,MONATSBUDGET!$C$74)-SUM(F1340:F1359)-SUM(H1340:H1341))))</x:f>
      </x:c>
      <x:c r="I1342" s="88" t="str">
        <x:f>IF(C1342="","",MAX(0,ROUND(D1342+E1342-F1342-G1342-H1342,2)))</x:f>
      </x:c>
      <x:c r="J1342" s="88" t="str">
        <x:f>IF(C1342="","",F1342+G1342+H1342)</x:f>
      </x:c>
      <x:c r="K1342" s="88" t="str">
        <x:f>IF(C1342="","",MAX(0,SUMIFS(SONDERZAHLUNGEN!$E$9:$E$128,SONDERZAHLUNGEN!$B$9:$B$128,C1342,SONDERZAHLUNGEN!$C$9:$C$128,A1342,SONDERZAHLUNGEN!$H$9:$H$128,"OK",SONDERZAHLUNGEN!$F$9:$F$128,"Ja")-G1342))</x:f>
      </x:c>
    </x:row>
    <x:row r="1343" ht="19" customHeight="1">
      <x:c r="A1343" s="90" t="n">
        <x:f>MONATSBUDGET!$A$74</x:f>
        <x:v>48245</x:v>
      </x:c>
      <x:c r="B1343" t="n">
        <x:f>4</x:f>
        <x:v>4</x:v>
      </x:c>
      <x:c r="C1343" t="str">
        <x:f>IF($N$12="","",$N$12)</x:f>
      </x:c>
      <x:c r="D1343" s="88" t="str">
        <x:f>IF(C1343="","",I1323)</x:f>
      </x:c>
      <x:c r="E1343" s="88" t="str">
        <x:f>IF(C1343="","",ROUND(D1343*$P$12/12,2))</x:f>
      </x:c>
      <x:c r="F1343" s="88" t="str">
        <x:f>IF(C1343="","",MIN(D1343+E1343,$Q$12))</x:f>
      </x:c>
      <x:c r="G1343" s="88" t="str">
        <x:f>IF(C1343="","",MIN(MAX(0,D1343+E1343-F1343),SUMIFS(SONDERZAHLUNGEN!$E$9:$E$128,SONDERZAHLUNGEN!$B$9:$B$128,C1343,SONDERZAHLUNGEN!$C$9:$C$128,A1343,SONDERZAHLUNGEN!$H$9:$H$128,"OK",SONDERZAHLUNGEN!$F$9:$F$128,"Ja")))</x:f>
      </x:c>
      <x:c r="H1343" s="88" t="str">
        <x:f>IF(C1343="","",MIN(MAX(0,D1343+E1343-F1343-G1343),MAX(0,IF(MONATSBUDGET!$C$74="",0,MONATSBUDGET!$C$74)-SUM(F1340:F1359)-SUM(H1340:H1342))))</x:f>
      </x:c>
      <x:c r="I1343" s="88" t="str">
        <x:f>IF(C1343="","",MAX(0,ROUND(D1343+E1343-F1343-G1343-H1343,2)))</x:f>
      </x:c>
      <x:c r="J1343" s="88" t="str">
        <x:f>IF(C1343="","",F1343+G1343+H1343)</x:f>
      </x:c>
      <x:c r="K1343" s="88" t="str">
        <x:f>IF(C1343="","",MAX(0,SUMIFS(SONDERZAHLUNGEN!$E$9:$E$128,SONDERZAHLUNGEN!$B$9:$B$128,C1343,SONDERZAHLUNGEN!$C$9:$C$128,A1343,SONDERZAHLUNGEN!$H$9:$H$128,"OK",SONDERZAHLUNGEN!$F$9:$F$128,"Ja")-G1343))</x:f>
      </x:c>
    </x:row>
    <x:row r="1344" ht="19" customHeight="1">
      <x:c r="A1344" s="90" t="n">
        <x:f>MONATSBUDGET!$A$74</x:f>
        <x:v>48245</x:v>
      </x:c>
      <x:c r="B1344" t="n">
        <x:f>5</x:f>
        <x:v>5</x:v>
      </x:c>
      <x:c r="C1344" t="str">
        <x:f>IF($N$13="","",$N$13)</x:f>
      </x:c>
      <x:c r="D1344" s="88" t="str">
        <x:f>IF(C1344="","",I1324)</x:f>
      </x:c>
      <x:c r="E1344" s="88" t="str">
        <x:f>IF(C1344="","",ROUND(D1344*$P$13/12,2))</x:f>
      </x:c>
      <x:c r="F1344" s="88" t="str">
        <x:f>IF(C1344="","",MIN(D1344+E1344,$Q$13))</x:f>
      </x:c>
      <x:c r="G1344" s="88" t="str">
        <x:f>IF(C1344="","",MIN(MAX(0,D1344+E1344-F1344),SUMIFS(SONDERZAHLUNGEN!$E$9:$E$128,SONDERZAHLUNGEN!$B$9:$B$128,C1344,SONDERZAHLUNGEN!$C$9:$C$128,A1344,SONDERZAHLUNGEN!$H$9:$H$128,"OK",SONDERZAHLUNGEN!$F$9:$F$128,"Ja")))</x:f>
      </x:c>
      <x:c r="H1344" s="88" t="str">
        <x:f>IF(C1344="","",MIN(MAX(0,D1344+E1344-F1344-G1344),MAX(0,IF(MONATSBUDGET!$C$74="",0,MONATSBUDGET!$C$74)-SUM(F1340:F1359)-SUM(H1340:H1343))))</x:f>
      </x:c>
      <x:c r="I1344" s="88" t="str">
        <x:f>IF(C1344="","",MAX(0,ROUND(D1344+E1344-F1344-G1344-H1344,2)))</x:f>
      </x:c>
      <x:c r="J1344" s="88" t="str">
        <x:f>IF(C1344="","",F1344+G1344+H1344)</x:f>
      </x:c>
      <x:c r="K1344" s="88" t="str">
        <x:f>IF(C1344="","",MAX(0,SUMIFS(SONDERZAHLUNGEN!$E$9:$E$128,SONDERZAHLUNGEN!$B$9:$B$128,C1344,SONDERZAHLUNGEN!$C$9:$C$128,A1344,SONDERZAHLUNGEN!$H$9:$H$128,"OK",SONDERZAHLUNGEN!$F$9:$F$128,"Ja")-G1344))</x:f>
      </x:c>
    </x:row>
    <x:row r="1345" ht="19" customHeight="1">
      <x:c r="A1345" s="90" t="n">
        <x:f>MONATSBUDGET!$A$74</x:f>
        <x:v>48245</x:v>
      </x:c>
      <x:c r="B1345" t="n">
        <x:f>6</x:f>
        <x:v>6</x:v>
      </x:c>
      <x:c r="C1345" t="str">
        <x:f>IF($N$14="","",$N$14)</x:f>
      </x:c>
      <x:c r="D1345" s="88" t="str">
        <x:f>IF(C1345="","",I1325)</x:f>
      </x:c>
      <x:c r="E1345" s="88" t="str">
        <x:f>IF(C1345="","",ROUND(D1345*$P$14/12,2))</x:f>
      </x:c>
      <x:c r="F1345" s="88" t="str">
        <x:f>IF(C1345="","",MIN(D1345+E1345,$Q$14))</x:f>
      </x:c>
      <x:c r="G1345" s="88" t="str">
        <x:f>IF(C1345="","",MIN(MAX(0,D1345+E1345-F1345),SUMIFS(SONDERZAHLUNGEN!$E$9:$E$128,SONDERZAHLUNGEN!$B$9:$B$128,C1345,SONDERZAHLUNGEN!$C$9:$C$128,A1345,SONDERZAHLUNGEN!$H$9:$H$128,"OK",SONDERZAHLUNGEN!$F$9:$F$128,"Ja")))</x:f>
      </x:c>
      <x:c r="H1345" s="88" t="str">
        <x:f>IF(C1345="","",MIN(MAX(0,D1345+E1345-F1345-G1345),MAX(0,IF(MONATSBUDGET!$C$74="",0,MONATSBUDGET!$C$74)-SUM(F1340:F1359)-SUM(H1340:H1344))))</x:f>
      </x:c>
      <x:c r="I1345" s="88" t="str">
        <x:f>IF(C1345="","",MAX(0,ROUND(D1345+E1345-F1345-G1345-H1345,2)))</x:f>
      </x:c>
      <x:c r="J1345" s="88" t="str">
        <x:f>IF(C1345="","",F1345+G1345+H1345)</x:f>
      </x:c>
      <x:c r="K1345" s="88" t="str">
        <x:f>IF(C1345="","",MAX(0,SUMIFS(SONDERZAHLUNGEN!$E$9:$E$128,SONDERZAHLUNGEN!$B$9:$B$128,C1345,SONDERZAHLUNGEN!$C$9:$C$128,A1345,SONDERZAHLUNGEN!$H$9:$H$128,"OK",SONDERZAHLUNGEN!$F$9:$F$128,"Ja")-G1345))</x:f>
      </x:c>
    </x:row>
    <x:row r="1346" ht="19" customHeight="1">
      <x:c r="A1346" s="90" t="n">
        <x:f>MONATSBUDGET!$A$74</x:f>
        <x:v>48245</x:v>
      </x:c>
      <x:c r="B1346" t="n">
        <x:f>7</x:f>
        <x:v>7</x:v>
      </x:c>
      <x:c r="C1346" t="str">
        <x:f>IF($N$15="","",$N$15)</x:f>
      </x:c>
      <x:c r="D1346" s="88" t="str">
        <x:f>IF(C1346="","",I1326)</x:f>
      </x:c>
      <x:c r="E1346" s="88" t="str">
        <x:f>IF(C1346="","",ROUND(D1346*$P$15/12,2))</x:f>
      </x:c>
      <x:c r="F1346" s="88" t="str">
        <x:f>IF(C1346="","",MIN(D1346+E1346,$Q$15))</x:f>
      </x:c>
      <x:c r="G1346" s="88" t="str">
        <x:f>IF(C1346="","",MIN(MAX(0,D1346+E1346-F1346),SUMIFS(SONDERZAHLUNGEN!$E$9:$E$128,SONDERZAHLUNGEN!$B$9:$B$128,C1346,SONDERZAHLUNGEN!$C$9:$C$128,A1346,SONDERZAHLUNGEN!$H$9:$H$128,"OK",SONDERZAHLUNGEN!$F$9:$F$128,"Ja")))</x:f>
      </x:c>
      <x:c r="H1346" s="88" t="str">
        <x:f>IF(C1346="","",MIN(MAX(0,D1346+E1346-F1346-G1346),MAX(0,IF(MONATSBUDGET!$C$74="",0,MONATSBUDGET!$C$74)-SUM(F1340:F1359)-SUM(H1340:H1345))))</x:f>
      </x:c>
      <x:c r="I1346" s="88" t="str">
        <x:f>IF(C1346="","",MAX(0,ROUND(D1346+E1346-F1346-G1346-H1346,2)))</x:f>
      </x:c>
      <x:c r="J1346" s="88" t="str">
        <x:f>IF(C1346="","",F1346+G1346+H1346)</x:f>
      </x:c>
      <x:c r="K1346" s="88" t="str">
        <x:f>IF(C1346="","",MAX(0,SUMIFS(SONDERZAHLUNGEN!$E$9:$E$128,SONDERZAHLUNGEN!$B$9:$B$128,C1346,SONDERZAHLUNGEN!$C$9:$C$128,A1346,SONDERZAHLUNGEN!$H$9:$H$128,"OK",SONDERZAHLUNGEN!$F$9:$F$128,"Ja")-G1346))</x:f>
      </x:c>
    </x:row>
    <x:row r="1347" ht="19" customHeight="1">
      <x:c r="A1347" s="90" t="n">
        <x:f>MONATSBUDGET!$A$74</x:f>
        <x:v>48245</x:v>
      </x:c>
      <x:c r="B1347" t="n">
        <x:f>8</x:f>
        <x:v>8</x:v>
      </x:c>
      <x:c r="C1347" t="str">
        <x:f>IF($N$16="","",$N$16)</x:f>
      </x:c>
      <x:c r="D1347" s="88" t="str">
        <x:f>IF(C1347="","",I1327)</x:f>
      </x:c>
      <x:c r="E1347" s="88" t="str">
        <x:f>IF(C1347="","",ROUND(D1347*$P$16/12,2))</x:f>
      </x:c>
      <x:c r="F1347" s="88" t="str">
        <x:f>IF(C1347="","",MIN(D1347+E1347,$Q$16))</x:f>
      </x:c>
      <x:c r="G1347" s="88" t="str">
        <x:f>IF(C1347="","",MIN(MAX(0,D1347+E1347-F1347),SUMIFS(SONDERZAHLUNGEN!$E$9:$E$128,SONDERZAHLUNGEN!$B$9:$B$128,C1347,SONDERZAHLUNGEN!$C$9:$C$128,A1347,SONDERZAHLUNGEN!$H$9:$H$128,"OK",SONDERZAHLUNGEN!$F$9:$F$128,"Ja")))</x:f>
      </x:c>
      <x:c r="H1347" s="88" t="str">
        <x:f>IF(C1347="","",MIN(MAX(0,D1347+E1347-F1347-G1347),MAX(0,IF(MONATSBUDGET!$C$74="",0,MONATSBUDGET!$C$74)-SUM(F1340:F1359)-SUM(H1340:H1346))))</x:f>
      </x:c>
      <x:c r="I1347" s="88" t="str">
        <x:f>IF(C1347="","",MAX(0,ROUND(D1347+E1347-F1347-G1347-H1347,2)))</x:f>
      </x:c>
      <x:c r="J1347" s="88" t="str">
        <x:f>IF(C1347="","",F1347+G1347+H1347)</x:f>
      </x:c>
      <x:c r="K1347" s="88" t="str">
        <x:f>IF(C1347="","",MAX(0,SUMIFS(SONDERZAHLUNGEN!$E$9:$E$128,SONDERZAHLUNGEN!$B$9:$B$128,C1347,SONDERZAHLUNGEN!$C$9:$C$128,A1347,SONDERZAHLUNGEN!$H$9:$H$128,"OK",SONDERZAHLUNGEN!$F$9:$F$128,"Ja")-G1347))</x:f>
      </x:c>
    </x:row>
    <x:row r="1348" ht="19" customHeight="1">
      <x:c r="A1348" s="90" t="n">
        <x:f>MONATSBUDGET!$A$74</x:f>
        <x:v>48245</x:v>
      </x:c>
      <x:c r="B1348" t="n">
        <x:f>9</x:f>
        <x:v>9</x:v>
      </x:c>
      <x:c r="C1348" t="str">
        <x:f>IF($N$17="","",$N$17)</x:f>
      </x:c>
      <x:c r="D1348" s="88" t="str">
        <x:f>IF(C1348="","",I1328)</x:f>
      </x:c>
      <x:c r="E1348" s="88" t="str">
        <x:f>IF(C1348="","",ROUND(D1348*$P$17/12,2))</x:f>
      </x:c>
      <x:c r="F1348" s="88" t="str">
        <x:f>IF(C1348="","",MIN(D1348+E1348,$Q$17))</x:f>
      </x:c>
      <x:c r="G1348" s="88" t="str">
        <x:f>IF(C1348="","",MIN(MAX(0,D1348+E1348-F1348),SUMIFS(SONDERZAHLUNGEN!$E$9:$E$128,SONDERZAHLUNGEN!$B$9:$B$128,C1348,SONDERZAHLUNGEN!$C$9:$C$128,A1348,SONDERZAHLUNGEN!$H$9:$H$128,"OK",SONDERZAHLUNGEN!$F$9:$F$128,"Ja")))</x:f>
      </x:c>
      <x:c r="H1348" s="88" t="str">
        <x:f>IF(C1348="","",MIN(MAX(0,D1348+E1348-F1348-G1348),MAX(0,IF(MONATSBUDGET!$C$74="",0,MONATSBUDGET!$C$74)-SUM(F1340:F1359)-SUM(H1340:H1347))))</x:f>
      </x:c>
      <x:c r="I1348" s="88" t="str">
        <x:f>IF(C1348="","",MAX(0,ROUND(D1348+E1348-F1348-G1348-H1348,2)))</x:f>
      </x:c>
      <x:c r="J1348" s="88" t="str">
        <x:f>IF(C1348="","",F1348+G1348+H1348)</x:f>
      </x:c>
      <x:c r="K1348" s="88" t="str">
        <x:f>IF(C1348="","",MAX(0,SUMIFS(SONDERZAHLUNGEN!$E$9:$E$128,SONDERZAHLUNGEN!$B$9:$B$128,C1348,SONDERZAHLUNGEN!$C$9:$C$128,A1348,SONDERZAHLUNGEN!$H$9:$H$128,"OK",SONDERZAHLUNGEN!$F$9:$F$128,"Ja")-G1348))</x:f>
      </x:c>
    </x:row>
    <x:row r="1349" ht="19" customHeight="1">
      <x:c r="A1349" s="90" t="n">
        <x:f>MONATSBUDGET!$A$74</x:f>
        <x:v>48245</x:v>
      </x:c>
      <x:c r="B1349" t="n">
        <x:f>10</x:f>
        <x:v>10</x:v>
      </x:c>
      <x:c r="C1349" t="str">
        <x:f>IF($N$18="","",$N$18)</x:f>
      </x:c>
      <x:c r="D1349" s="88" t="str">
        <x:f>IF(C1349="","",I1329)</x:f>
      </x:c>
      <x:c r="E1349" s="88" t="str">
        <x:f>IF(C1349="","",ROUND(D1349*$P$18/12,2))</x:f>
      </x:c>
      <x:c r="F1349" s="88" t="str">
        <x:f>IF(C1349="","",MIN(D1349+E1349,$Q$18))</x:f>
      </x:c>
      <x:c r="G1349" s="88" t="str">
        <x:f>IF(C1349="","",MIN(MAX(0,D1349+E1349-F1349),SUMIFS(SONDERZAHLUNGEN!$E$9:$E$128,SONDERZAHLUNGEN!$B$9:$B$128,C1349,SONDERZAHLUNGEN!$C$9:$C$128,A1349,SONDERZAHLUNGEN!$H$9:$H$128,"OK",SONDERZAHLUNGEN!$F$9:$F$128,"Ja")))</x:f>
      </x:c>
      <x:c r="H1349" s="88" t="str">
        <x:f>IF(C1349="","",MIN(MAX(0,D1349+E1349-F1349-G1349),MAX(0,IF(MONATSBUDGET!$C$74="",0,MONATSBUDGET!$C$74)-SUM(F1340:F1359)-SUM(H1340:H1348))))</x:f>
      </x:c>
      <x:c r="I1349" s="88" t="str">
        <x:f>IF(C1349="","",MAX(0,ROUND(D1349+E1349-F1349-G1349-H1349,2)))</x:f>
      </x:c>
      <x:c r="J1349" s="88" t="str">
        <x:f>IF(C1349="","",F1349+G1349+H1349)</x:f>
      </x:c>
      <x:c r="K1349" s="88" t="str">
        <x:f>IF(C1349="","",MAX(0,SUMIFS(SONDERZAHLUNGEN!$E$9:$E$128,SONDERZAHLUNGEN!$B$9:$B$128,C1349,SONDERZAHLUNGEN!$C$9:$C$128,A1349,SONDERZAHLUNGEN!$H$9:$H$128,"OK",SONDERZAHLUNGEN!$F$9:$F$128,"Ja")-G1349))</x:f>
      </x:c>
    </x:row>
    <x:row r="1350" ht="19" customHeight="1">
      <x:c r="A1350" s="90" t="n">
        <x:f>MONATSBUDGET!$A$74</x:f>
        <x:v>48245</x:v>
      </x:c>
      <x:c r="B1350" t="n">
        <x:f>11</x:f>
        <x:v>11</x:v>
      </x:c>
      <x:c r="C1350" t="str">
        <x:f>IF($N$19="","",$N$19)</x:f>
      </x:c>
      <x:c r="D1350" s="88" t="str">
        <x:f>IF(C1350="","",I1330)</x:f>
      </x:c>
      <x:c r="E1350" s="88" t="str">
        <x:f>IF(C1350="","",ROUND(D1350*$P$19/12,2))</x:f>
      </x:c>
      <x:c r="F1350" s="88" t="str">
        <x:f>IF(C1350="","",MIN(D1350+E1350,$Q$19))</x:f>
      </x:c>
      <x:c r="G1350" s="88" t="str">
        <x:f>IF(C1350="","",MIN(MAX(0,D1350+E1350-F1350),SUMIFS(SONDERZAHLUNGEN!$E$9:$E$128,SONDERZAHLUNGEN!$B$9:$B$128,C1350,SONDERZAHLUNGEN!$C$9:$C$128,A1350,SONDERZAHLUNGEN!$H$9:$H$128,"OK",SONDERZAHLUNGEN!$F$9:$F$128,"Ja")))</x:f>
      </x:c>
      <x:c r="H1350" s="88" t="str">
        <x:f>IF(C1350="","",MIN(MAX(0,D1350+E1350-F1350-G1350),MAX(0,IF(MONATSBUDGET!$C$74="",0,MONATSBUDGET!$C$74)-SUM(F1340:F1359)-SUM(H1340:H1349))))</x:f>
      </x:c>
      <x:c r="I1350" s="88" t="str">
        <x:f>IF(C1350="","",MAX(0,ROUND(D1350+E1350-F1350-G1350-H1350,2)))</x:f>
      </x:c>
      <x:c r="J1350" s="88" t="str">
        <x:f>IF(C1350="","",F1350+G1350+H1350)</x:f>
      </x:c>
      <x:c r="K1350" s="88" t="str">
        <x:f>IF(C1350="","",MAX(0,SUMIFS(SONDERZAHLUNGEN!$E$9:$E$128,SONDERZAHLUNGEN!$B$9:$B$128,C1350,SONDERZAHLUNGEN!$C$9:$C$128,A1350,SONDERZAHLUNGEN!$H$9:$H$128,"OK",SONDERZAHLUNGEN!$F$9:$F$128,"Ja")-G1350))</x:f>
      </x:c>
    </x:row>
    <x:row r="1351" ht="19" customHeight="1">
      <x:c r="A1351" s="90" t="n">
        <x:f>MONATSBUDGET!$A$74</x:f>
        <x:v>48245</x:v>
      </x:c>
      <x:c r="B1351" t="n">
        <x:f>12</x:f>
        <x:v>12</x:v>
      </x:c>
      <x:c r="C1351" t="str">
        <x:f>IF($N$20="","",$N$20)</x:f>
      </x:c>
      <x:c r="D1351" s="88" t="str">
        <x:f>IF(C1351="","",I1331)</x:f>
      </x:c>
      <x:c r="E1351" s="88" t="str">
        <x:f>IF(C1351="","",ROUND(D1351*$P$20/12,2))</x:f>
      </x:c>
      <x:c r="F1351" s="88" t="str">
        <x:f>IF(C1351="","",MIN(D1351+E1351,$Q$20))</x:f>
      </x:c>
      <x:c r="G1351" s="88" t="str">
        <x:f>IF(C1351="","",MIN(MAX(0,D1351+E1351-F1351),SUMIFS(SONDERZAHLUNGEN!$E$9:$E$128,SONDERZAHLUNGEN!$B$9:$B$128,C1351,SONDERZAHLUNGEN!$C$9:$C$128,A1351,SONDERZAHLUNGEN!$H$9:$H$128,"OK",SONDERZAHLUNGEN!$F$9:$F$128,"Ja")))</x:f>
      </x:c>
      <x:c r="H1351" s="88" t="str">
        <x:f>IF(C1351="","",MIN(MAX(0,D1351+E1351-F1351-G1351),MAX(0,IF(MONATSBUDGET!$C$74="",0,MONATSBUDGET!$C$74)-SUM(F1340:F1359)-SUM(H1340:H1350))))</x:f>
      </x:c>
      <x:c r="I1351" s="88" t="str">
        <x:f>IF(C1351="","",MAX(0,ROUND(D1351+E1351-F1351-G1351-H1351,2)))</x:f>
      </x:c>
      <x:c r="J1351" s="88" t="str">
        <x:f>IF(C1351="","",F1351+G1351+H1351)</x:f>
      </x:c>
      <x:c r="K1351" s="88" t="str">
        <x:f>IF(C1351="","",MAX(0,SUMIFS(SONDERZAHLUNGEN!$E$9:$E$128,SONDERZAHLUNGEN!$B$9:$B$128,C1351,SONDERZAHLUNGEN!$C$9:$C$128,A1351,SONDERZAHLUNGEN!$H$9:$H$128,"OK",SONDERZAHLUNGEN!$F$9:$F$128,"Ja")-G1351))</x:f>
      </x:c>
    </x:row>
    <x:row r="1352" ht="19" customHeight="1">
      <x:c r="A1352" s="90" t="n">
        <x:f>MONATSBUDGET!$A$74</x:f>
        <x:v>48245</x:v>
      </x:c>
      <x:c r="B1352" t="n">
        <x:f>13</x:f>
        <x:v>13</x:v>
      </x:c>
      <x:c r="C1352" t="str">
        <x:f>IF($N$21="","",$N$21)</x:f>
      </x:c>
      <x:c r="D1352" s="88" t="str">
        <x:f>IF(C1352="","",I1332)</x:f>
      </x:c>
      <x:c r="E1352" s="88" t="str">
        <x:f>IF(C1352="","",ROUND(D1352*$P$21/12,2))</x:f>
      </x:c>
      <x:c r="F1352" s="88" t="str">
        <x:f>IF(C1352="","",MIN(D1352+E1352,$Q$21))</x:f>
      </x:c>
      <x:c r="G1352" s="88" t="str">
        <x:f>IF(C1352="","",MIN(MAX(0,D1352+E1352-F1352),SUMIFS(SONDERZAHLUNGEN!$E$9:$E$128,SONDERZAHLUNGEN!$B$9:$B$128,C1352,SONDERZAHLUNGEN!$C$9:$C$128,A1352,SONDERZAHLUNGEN!$H$9:$H$128,"OK",SONDERZAHLUNGEN!$F$9:$F$128,"Ja")))</x:f>
      </x:c>
      <x:c r="H1352" s="88" t="str">
        <x:f>IF(C1352="","",MIN(MAX(0,D1352+E1352-F1352-G1352),MAX(0,IF(MONATSBUDGET!$C$74="",0,MONATSBUDGET!$C$74)-SUM(F1340:F1359)-SUM(H1340:H1351))))</x:f>
      </x:c>
      <x:c r="I1352" s="88" t="str">
        <x:f>IF(C1352="","",MAX(0,ROUND(D1352+E1352-F1352-G1352-H1352,2)))</x:f>
      </x:c>
      <x:c r="J1352" s="88" t="str">
        <x:f>IF(C1352="","",F1352+G1352+H1352)</x:f>
      </x:c>
      <x:c r="K1352" s="88" t="str">
        <x:f>IF(C1352="","",MAX(0,SUMIFS(SONDERZAHLUNGEN!$E$9:$E$128,SONDERZAHLUNGEN!$B$9:$B$128,C1352,SONDERZAHLUNGEN!$C$9:$C$128,A1352,SONDERZAHLUNGEN!$H$9:$H$128,"OK",SONDERZAHLUNGEN!$F$9:$F$128,"Ja")-G1352))</x:f>
      </x:c>
    </x:row>
    <x:row r="1353" ht="19" customHeight="1">
      <x:c r="A1353" s="90" t="n">
        <x:f>MONATSBUDGET!$A$74</x:f>
        <x:v>48245</x:v>
      </x:c>
      <x:c r="B1353" t="n">
        <x:f>14</x:f>
        <x:v>14</x:v>
      </x:c>
      <x:c r="C1353" t="str">
        <x:f>IF($N$22="","",$N$22)</x:f>
      </x:c>
      <x:c r="D1353" s="88" t="str">
        <x:f>IF(C1353="","",I1333)</x:f>
      </x:c>
      <x:c r="E1353" s="88" t="str">
        <x:f>IF(C1353="","",ROUND(D1353*$P$22/12,2))</x:f>
      </x:c>
      <x:c r="F1353" s="88" t="str">
        <x:f>IF(C1353="","",MIN(D1353+E1353,$Q$22))</x:f>
      </x:c>
      <x:c r="G1353" s="88" t="str">
        <x:f>IF(C1353="","",MIN(MAX(0,D1353+E1353-F1353),SUMIFS(SONDERZAHLUNGEN!$E$9:$E$128,SONDERZAHLUNGEN!$B$9:$B$128,C1353,SONDERZAHLUNGEN!$C$9:$C$128,A1353,SONDERZAHLUNGEN!$H$9:$H$128,"OK",SONDERZAHLUNGEN!$F$9:$F$128,"Ja")))</x:f>
      </x:c>
      <x:c r="H1353" s="88" t="str">
        <x:f>IF(C1353="","",MIN(MAX(0,D1353+E1353-F1353-G1353),MAX(0,IF(MONATSBUDGET!$C$74="",0,MONATSBUDGET!$C$74)-SUM(F1340:F1359)-SUM(H1340:H1352))))</x:f>
      </x:c>
      <x:c r="I1353" s="88" t="str">
        <x:f>IF(C1353="","",MAX(0,ROUND(D1353+E1353-F1353-G1353-H1353,2)))</x:f>
      </x:c>
      <x:c r="J1353" s="88" t="str">
        <x:f>IF(C1353="","",F1353+G1353+H1353)</x:f>
      </x:c>
      <x:c r="K1353" s="88" t="str">
        <x:f>IF(C1353="","",MAX(0,SUMIFS(SONDERZAHLUNGEN!$E$9:$E$128,SONDERZAHLUNGEN!$B$9:$B$128,C1353,SONDERZAHLUNGEN!$C$9:$C$128,A1353,SONDERZAHLUNGEN!$H$9:$H$128,"OK",SONDERZAHLUNGEN!$F$9:$F$128,"Ja")-G1353))</x:f>
      </x:c>
    </x:row>
    <x:row r="1354" ht="19" customHeight="1">
      <x:c r="A1354" s="90" t="n">
        <x:f>MONATSBUDGET!$A$74</x:f>
        <x:v>48245</x:v>
      </x:c>
      <x:c r="B1354" t="n">
        <x:f>15</x:f>
        <x:v>15</x:v>
      </x:c>
      <x:c r="C1354" t="str">
        <x:f>IF($N$23="","",$N$23)</x:f>
      </x:c>
      <x:c r="D1354" s="88" t="str">
        <x:f>IF(C1354="","",I1334)</x:f>
      </x:c>
      <x:c r="E1354" s="88" t="str">
        <x:f>IF(C1354="","",ROUND(D1354*$P$23/12,2))</x:f>
      </x:c>
      <x:c r="F1354" s="88" t="str">
        <x:f>IF(C1354="","",MIN(D1354+E1354,$Q$23))</x:f>
      </x:c>
      <x:c r="G1354" s="88" t="str">
        <x:f>IF(C1354="","",MIN(MAX(0,D1354+E1354-F1354),SUMIFS(SONDERZAHLUNGEN!$E$9:$E$128,SONDERZAHLUNGEN!$B$9:$B$128,C1354,SONDERZAHLUNGEN!$C$9:$C$128,A1354,SONDERZAHLUNGEN!$H$9:$H$128,"OK",SONDERZAHLUNGEN!$F$9:$F$128,"Ja")))</x:f>
      </x:c>
      <x:c r="H1354" s="88" t="str">
        <x:f>IF(C1354="","",MIN(MAX(0,D1354+E1354-F1354-G1354),MAX(0,IF(MONATSBUDGET!$C$74="",0,MONATSBUDGET!$C$74)-SUM(F1340:F1359)-SUM(H1340:H1353))))</x:f>
      </x:c>
      <x:c r="I1354" s="88" t="str">
        <x:f>IF(C1354="","",MAX(0,ROUND(D1354+E1354-F1354-G1354-H1354,2)))</x:f>
      </x:c>
      <x:c r="J1354" s="88" t="str">
        <x:f>IF(C1354="","",F1354+G1354+H1354)</x:f>
      </x:c>
      <x:c r="K1354" s="88" t="str">
        <x:f>IF(C1354="","",MAX(0,SUMIFS(SONDERZAHLUNGEN!$E$9:$E$128,SONDERZAHLUNGEN!$B$9:$B$128,C1354,SONDERZAHLUNGEN!$C$9:$C$128,A1354,SONDERZAHLUNGEN!$H$9:$H$128,"OK",SONDERZAHLUNGEN!$F$9:$F$128,"Ja")-G1354))</x:f>
      </x:c>
    </x:row>
    <x:row r="1355" ht="19" customHeight="1">
      <x:c r="A1355" s="90" t="n">
        <x:f>MONATSBUDGET!$A$74</x:f>
        <x:v>48245</x:v>
      </x:c>
      <x:c r="B1355" t="n">
        <x:f>16</x:f>
        <x:v>16</x:v>
      </x:c>
      <x:c r="C1355" t="str">
        <x:f>IF($N$24="","",$N$24)</x:f>
      </x:c>
      <x:c r="D1355" s="88" t="str">
        <x:f>IF(C1355="","",I1335)</x:f>
      </x:c>
      <x:c r="E1355" s="88" t="str">
        <x:f>IF(C1355="","",ROUND(D1355*$P$24/12,2))</x:f>
      </x:c>
      <x:c r="F1355" s="88" t="str">
        <x:f>IF(C1355="","",MIN(D1355+E1355,$Q$24))</x:f>
      </x:c>
      <x:c r="G1355" s="88" t="str">
        <x:f>IF(C1355="","",MIN(MAX(0,D1355+E1355-F1355),SUMIFS(SONDERZAHLUNGEN!$E$9:$E$128,SONDERZAHLUNGEN!$B$9:$B$128,C1355,SONDERZAHLUNGEN!$C$9:$C$128,A1355,SONDERZAHLUNGEN!$H$9:$H$128,"OK",SONDERZAHLUNGEN!$F$9:$F$128,"Ja")))</x:f>
      </x:c>
      <x:c r="H1355" s="88" t="str">
        <x:f>IF(C1355="","",MIN(MAX(0,D1355+E1355-F1355-G1355),MAX(0,IF(MONATSBUDGET!$C$74="",0,MONATSBUDGET!$C$74)-SUM(F1340:F1359)-SUM(H1340:H1354))))</x:f>
      </x:c>
      <x:c r="I1355" s="88" t="str">
        <x:f>IF(C1355="","",MAX(0,ROUND(D1355+E1355-F1355-G1355-H1355,2)))</x:f>
      </x:c>
      <x:c r="J1355" s="88" t="str">
        <x:f>IF(C1355="","",F1355+G1355+H1355)</x:f>
      </x:c>
      <x:c r="K1355" s="88" t="str">
        <x:f>IF(C1355="","",MAX(0,SUMIFS(SONDERZAHLUNGEN!$E$9:$E$128,SONDERZAHLUNGEN!$B$9:$B$128,C1355,SONDERZAHLUNGEN!$C$9:$C$128,A1355,SONDERZAHLUNGEN!$H$9:$H$128,"OK",SONDERZAHLUNGEN!$F$9:$F$128,"Ja")-G1355))</x:f>
      </x:c>
    </x:row>
    <x:row r="1356" ht="19" customHeight="1">
      <x:c r="A1356" s="90" t="n">
        <x:f>MONATSBUDGET!$A$74</x:f>
        <x:v>48245</x:v>
      </x:c>
      <x:c r="B1356" t="n">
        <x:f>17</x:f>
        <x:v>17</x:v>
      </x:c>
      <x:c r="C1356" t="str">
        <x:f>IF($N$25="","",$N$25)</x:f>
      </x:c>
      <x:c r="D1356" s="88" t="str">
        <x:f>IF(C1356="","",I1336)</x:f>
      </x:c>
      <x:c r="E1356" s="88" t="str">
        <x:f>IF(C1356="","",ROUND(D1356*$P$25/12,2))</x:f>
      </x:c>
      <x:c r="F1356" s="88" t="str">
        <x:f>IF(C1356="","",MIN(D1356+E1356,$Q$25))</x:f>
      </x:c>
      <x:c r="G1356" s="88" t="str">
        <x:f>IF(C1356="","",MIN(MAX(0,D1356+E1356-F1356),SUMIFS(SONDERZAHLUNGEN!$E$9:$E$128,SONDERZAHLUNGEN!$B$9:$B$128,C1356,SONDERZAHLUNGEN!$C$9:$C$128,A1356,SONDERZAHLUNGEN!$H$9:$H$128,"OK",SONDERZAHLUNGEN!$F$9:$F$128,"Ja")))</x:f>
      </x:c>
      <x:c r="H1356" s="88" t="str">
        <x:f>IF(C1356="","",MIN(MAX(0,D1356+E1356-F1356-G1356),MAX(0,IF(MONATSBUDGET!$C$74="",0,MONATSBUDGET!$C$74)-SUM(F1340:F1359)-SUM(H1340:H1355))))</x:f>
      </x:c>
      <x:c r="I1356" s="88" t="str">
        <x:f>IF(C1356="","",MAX(0,ROUND(D1356+E1356-F1356-G1356-H1356,2)))</x:f>
      </x:c>
      <x:c r="J1356" s="88" t="str">
        <x:f>IF(C1356="","",F1356+G1356+H1356)</x:f>
      </x:c>
      <x:c r="K1356" s="88" t="str">
        <x:f>IF(C1356="","",MAX(0,SUMIFS(SONDERZAHLUNGEN!$E$9:$E$128,SONDERZAHLUNGEN!$B$9:$B$128,C1356,SONDERZAHLUNGEN!$C$9:$C$128,A1356,SONDERZAHLUNGEN!$H$9:$H$128,"OK",SONDERZAHLUNGEN!$F$9:$F$128,"Ja")-G1356))</x:f>
      </x:c>
    </x:row>
    <x:row r="1357" ht="19" customHeight="1">
      <x:c r="A1357" s="90" t="n">
        <x:f>MONATSBUDGET!$A$74</x:f>
        <x:v>48245</x:v>
      </x:c>
      <x:c r="B1357" t="n">
        <x:f>18</x:f>
        <x:v>18</x:v>
      </x:c>
      <x:c r="C1357" t="str">
        <x:f>IF($N$26="","",$N$26)</x:f>
      </x:c>
      <x:c r="D1357" s="88" t="str">
        <x:f>IF(C1357="","",I1337)</x:f>
      </x:c>
      <x:c r="E1357" s="88" t="str">
        <x:f>IF(C1357="","",ROUND(D1357*$P$26/12,2))</x:f>
      </x:c>
      <x:c r="F1357" s="88" t="str">
        <x:f>IF(C1357="","",MIN(D1357+E1357,$Q$26))</x:f>
      </x:c>
      <x:c r="G1357" s="88" t="str">
        <x:f>IF(C1357="","",MIN(MAX(0,D1357+E1357-F1357),SUMIFS(SONDERZAHLUNGEN!$E$9:$E$128,SONDERZAHLUNGEN!$B$9:$B$128,C1357,SONDERZAHLUNGEN!$C$9:$C$128,A1357,SONDERZAHLUNGEN!$H$9:$H$128,"OK",SONDERZAHLUNGEN!$F$9:$F$128,"Ja")))</x:f>
      </x:c>
      <x:c r="H1357" s="88" t="str">
        <x:f>IF(C1357="","",MIN(MAX(0,D1357+E1357-F1357-G1357),MAX(0,IF(MONATSBUDGET!$C$74="",0,MONATSBUDGET!$C$74)-SUM(F1340:F1359)-SUM(H1340:H1356))))</x:f>
      </x:c>
      <x:c r="I1357" s="88" t="str">
        <x:f>IF(C1357="","",MAX(0,ROUND(D1357+E1357-F1357-G1357-H1357,2)))</x:f>
      </x:c>
      <x:c r="J1357" s="88" t="str">
        <x:f>IF(C1357="","",F1357+G1357+H1357)</x:f>
      </x:c>
      <x:c r="K1357" s="88" t="str">
        <x:f>IF(C1357="","",MAX(0,SUMIFS(SONDERZAHLUNGEN!$E$9:$E$128,SONDERZAHLUNGEN!$B$9:$B$128,C1357,SONDERZAHLUNGEN!$C$9:$C$128,A1357,SONDERZAHLUNGEN!$H$9:$H$128,"OK",SONDERZAHLUNGEN!$F$9:$F$128,"Ja")-G1357))</x:f>
      </x:c>
    </x:row>
    <x:row r="1358" ht="19" customHeight="1">
      <x:c r="A1358" s="90" t="n">
        <x:f>MONATSBUDGET!$A$74</x:f>
        <x:v>48245</x:v>
      </x:c>
      <x:c r="B1358" t="n">
        <x:f>19</x:f>
        <x:v>19</x:v>
      </x:c>
      <x:c r="C1358" t="str">
        <x:f>IF($N$27="","",$N$27)</x:f>
      </x:c>
      <x:c r="D1358" s="88" t="str">
        <x:f>IF(C1358="","",I1338)</x:f>
      </x:c>
      <x:c r="E1358" s="88" t="str">
        <x:f>IF(C1358="","",ROUND(D1358*$P$27/12,2))</x:f>
      </x:c>
      <x:c r="F1358" s="88" t="str">
        <x:f>IF(C1358="","",MIN(D1358+E1358,$Q$27))</x:f>
      </x:c>
      <x:c r="G1358" s="88" t="str">
        <x:f>IF(C1358="","",MIN(MAX(0,D1358+E1358-F1358),SUMIFS(SONDERZAHLUNGEN!$E$9:$E$128,SONDERZAHLUNGEN!$B$9:$B$128,C1358,SONDERZAHLUNGEN!$C$9:$C$128,A1358,SONDERZAHLUNGEN!$H$9:$H$128,"OK",SONDERZAHLUNGEN!$F$9:$F$128,"Ja")))</x:f>
      </x:c>
      <x:c r="H1358" s="88" t="str">
        <x:f>IF(C1358="","",MIN(MAX(0,D1358+E1358-F1358-G1358),MAX(0,IF(MONATSBUDGET!$C$74="",0,MONATSBUDGET!$C$74)-SUM(F1340:F1359)-SUM(H1340:H1357))))</x:f>
      </x:c>
      <x:c r="I1358" s="88" t="str">
        <x:f>IF(C1358="","",MAX(0,ROUND(D1358+E1358-F1358-G1358-H1358,2)))</x:f>
      </x:c>
      <x:c r="J1358" s="88" t="str">
        <x:f>IF(C1358="","",F1358+G1358+H1358)</x:f>
      </x:c>
      <x:c r="K1358" s="88" t="str">
        <x:f>IF(C1358="","",MAX(0,SUMIFS(SONDERZAHLUNGEN!$E$9:$E$128,SONDERZAHLUNGEN!$B$9:$B$128,C1358,SONDERZAHLUNGEN!$C$9:$C$128,A1358,SONDERZAHLUNGEN!$H$9:$H$128,"OK",SONDERZAHLUNGEN!$F$9:$F$128,"Ja")-G1358))</x:f>
      </x:c>
    </x:row>
    <x:row r="1359" ht="19" customHeight="1">
      <x:c r="A1359" s="90" t="n">
        <x:f>MONATSBUDGET!$A$74</x:f>
        <x:v>48245</x:v>
      </x:c>
      <x:c r="B1359" t="n">
        <x:f>20</x:f>
        <x:v>20</x:v>
      </x:c>
      <x:c r="C1359" t="str">
        <x:f>IF($N$28="","",$N$28)</x:f>
      </x:c>
      <x:c r="D1359" s="88" t="str">
        <x:f>IF(C1359="","",I1339)</x:f>
      </x:c>
      <x:c r="E1359" s="88" t="str">
        <x:f>IF(C1359="","",ROUND(D1359*$P$28/12,2))</x:f>
      </x:c>
      <x:c r="F1359" s="88" t="str">
        <x:f>IF(C1359="","",MIN(D1359+E1359,$Q$28))</x:f>
      </x:c>
      <x:c r="G1359" s="88" t="str">
        <x:f>IF(C1359="","",MIN(MAX(0,D1359+E1359-F1359),SUMIFS(SONDERZAHLUNGEN!$E$9:$E$128,SONDERZAHLUNGEN!$B$9:$B$128,C1359,SONDERZAHLUNGEN!$C$9:$C$128,A1359,SONDERZAHLUNGEN!$H$9:$H$128,"OK",SONDERZAHLUNGEN!$F$9:$F$128,"Ja")))</x:f>
      </x:c>
      <x:c r="H1359" s="88" t="str">
        <x:f>IF(C1359="","",MIN(MAX(0,D1359+E1359-F1359-G1359),MAX(0,IF(MONATSBUDGET!$C$74="",0,MONATSBUDGET!$C$74)-SUM(F1340:F1359)-SUM(H1340:H1358))))</x:f>
      </x:c>
      <x:c r="I1359" s="88" t="str">
        <x:f>IF(C1359="","",MAX(0,ROUND(D1359+E1359-F1359-G1359-H1359,2)))</x:f>
      </x:c>
      <x:c r="J1359" s="88" t="str">
        <x:f>IF(C1359="","",F1359+G1359+H1359)</x:f>
      </x:c>
      <x:c r="K1359" s="88" t="str">
        <x:f>IF(C1359="","",MAX(0,SUMIFS(SONDERZAHLUNGEN!$E$9:$E$128,SONDERZAHLUNGEN!$B$9:$B$128,C1359,SONDERZAHLUNGEN!$C$9:$C$128,A1359,SONDERZAHLUNGEN!$H$9:$H$128,"OK",SONDERZAHLUNGEN!$F$9:$F$128,"Ja")-G1359))</x:f>
      </x:c>
    </x:row>
    <x:row r="1360" ht="19" customHeight="1">
      <x:c r="A1360" s="90" t="n">
        <x:f>MONATSBUDGET!$A$75</x:f>
        <x:v>48274</x:v>
      </x:c>
      <x:c r="B1360" t="n">
        <x:f>1</x:f>
        <x:v>1</x:v>
      </x:c>
      <x:c r="C1360" t="str">
        <x:f>IF($N$9="","",$N$9)</x:f>
      </x:c>
      <x:c r="D1360" s="88" t="str">
        <x:f>IF(C1360="","",I1340)</x:f>
      </x:c>
      <x:c r="E1360" s="88" t="str">
        <x:f>IF(C1360="","",ROUND(D1360*$P$9/12,2))</x:f>
      </x:c>
      <x:c r="F1360" s="88" t="str">
        <x:f>IF(C1360="","",MIN(D1360+E1360,$Q$9))</x:f>
      </x:c>
      <x:c r="G1360" s="88" t="str">
        <x:f>IF(C1360="","",MIN(MAX(0,D1360+E1360-F1360),SUMIFS(SONDERZAHLUNGEN!$E$9:$E$128,SONDERZAHLUNGEN!$B$9:$B$128,C1360,SONDERZAHLUNGEN!$C$9:$C$128,A1360,SONDERZAHLUNGEN!$H$9:$H$128,"OK",SONDERZAHLUNGEN!$F$9:$F$128,"Ja")))</x:f>
      </x:c>
      <x:c r="H1360" s="88" t="str">
        <x:f>IF(C1360="","",MIN(MAX(0,D1360+E1360-F1360-G1360),MAX(0,IF(MONATSBUDGET!$C$75="",0,MONATSBUDGET!$C$75)-SUM(F1360:F1379)-0)))</x:f>
      </x:c>
      <x:c r="I1360" s="88" t="str">
        <x:f>IF(C1360="","",MAX(0,ROUND(D1360+E1360-F1360-G1360-H1360,2)))</x:f>
      </x:c>
      <x:c r="J1360" s="88" t="str">
        <x:f>IF(C1360="","",F1360+G1360+H1360)</x:f>
      </x:c>
      <x:c r="K1360" s="88" t="str">
        <x:f>IF(C1360="","",MAX(0,SUMIFS(SONDERZAHLUNGEN!$E$9:$E$128,SONDERZAHLUNGEN!$B$9:$B$128,C1360,SONDERZAHLUNGEN!$C$9:$C$128,A1360,SONDERZAHLUNGEN!$H$9:$H$128,"OK",SONDERZAHLUNGEN!$F$9:$F$128,"Ja")-G1360))</x:f>
      </x:c>
    </x:row>
    <x:row r="1361" ht="19" customHeight="1">
      <x:c r="A1361" s="90" t="n">
        <x:f>MONATSBUDGET!$A$75</x:f>
        <x:v>48274</x:v>
      </x:c>
      <x:c r="B1361" t="n">
        <x:f>2</x:f>
        <x:v>2</x:v>
      </x:c>
      <x:c r="C1361" t="str">
        <x:f>IF($N$10="","",$N$10)</x:f>
      </x:c>
      <x:c r="D1361" s="88" t="str">
        <x:f>IF(C1361="","",I1341)</x:f>
      </x:c>
      <x:c r="E1361" s="88" t="str">
        <x:f>IF(C1361="","",ROUND(D1361*$P$10/12,2))</x:f>
      </x:c>
      <x:c r="F1361" s="88" t="str">
        <x:f>IF(C1361="","",MIN(D1361+E1361,$Q$10))</x:f>
      </x:c>
      <x:c r="G1361" s="88" t="str">
        <x:f>IF(C1361="","",MIN(MAX(0,D1361+E1361-F1361),SUMIFS(SONDERZAHLUNGEN!$E$9:$E$128,SONDERZAHLUNGEN!$B$9:$B$128,C1361,SONDERZAHLUNGEN!$C$9:$C$128,A1361,SONDERZAHLUNGEN!$H$9:$H$128,"OK",SONDERZAHLUNGEN!$F$9:$F$128,"Ja")))</x:f>
      </x:c>
      <x:c r="H1361" s="88" t="str">
        <x:f>IF(C1361="","",MIN(MAX(0,D1361+E1361-F1361-G1361),MAX(0,IF(MONATSBUDGET!$C$75="",0,MONATSBUDGET!$C$75)-SUM(F1360:F1379)-SUM(H1360:H1360))))</x:f>
      </x:c>
      <x:c r="I1361" s="88" t="str">
        <x:f>IF(C1361="","",MAX(0,ROUND(D1361+E1361-F1361-G1361-H1361,2)))</x:f>
      </x:c>
      <x:c r="J1361" s="88" t="str">
        <x:f>IF(C1361="","",F1361+G1361+H1361)</x:f>
      </x:c>
      <x:c r="K1361" s="88" t="str">
        <x:f>IF(C1361="","",MAX(0,SUMIFS(SONDERZAHLUNGEN!$E$9:$E$128,SONDERZAHLUNGEN!$B$9:$B$128,C1361,SONDERZAHLUNGEN!$C$9:$C$128,A1361,SONDERZAHLUNGEN!$H$9:$H$128,"OK",SONDERZAHLUNGEN!$F$9:$F$128,"Ja")-G1361))</x:f>
      </x:c>
    </x:row>
    <x:row r="1362" ht="19" customHeight="1">
      <x:c r="A1362" s="90" t="n">
        <x:f>MONATSBUDGET!$A$75</x:f>
        <x:v>48274</x:v>
      </x:c>
      <x:c r="B1362" t="n">
        <x:f>3</x:f>
        <x:v>3</x:v>
      </x:c>
      <x:c r="C1362" t="str">
        <x:f>IF($N$11="","",$N$11)</x:f>
      </x:c>
      <x:c r="D1362" s="88" t="str">
        <x:f>IF(C1362="","",I1342)</x:f>
      </x:c>
      <x:c r="E1362" s="88" t="str">
        <x:f>IF(C1362="","",ROUND(D1362*$P$11/12,2))</x:f>
      </x:c>
      <x:c r="F1362" s="88" t="str">
        <x:f>IF(C1362="","",MIN(D1362+E1362,$Q$11))</x:f>
      </x:c>
      <x:c r="G1362" s="88" t="str">
        <x:f>IF(C1362="","",MIN(MAX(0,D1362+E1362-F1362),SUMIFS(SONDERZAHLUNGEN!$E$9:$E$128,SONDERZAHLUNGEN!$B$9:$B$128,C1362,SONDERZAHLUNGEN!$C$9:$C$128,A1362,SONDERZAHLUNGEN!$H$9:$H$128,"OK",SONDERZAHLUNGEN!$F$9:$F$128,"Ja")))</x:f>
      </x:c>
      <x:c r="H1362" s="88" t="str">
        <x:f>IF(C1362="","",MIN(MAX(0,D1362+E1362-F1362-G1362),MAX(0,IF(MONATSBUDGET!$C$75="",0,MONATSBUDGET!$C$75)-SUM(F1360:F1379)-SUM(H1360:H1361))))</x:f>
      </x:c>
      <x:c r="I1362" s="88" t="str">
        <x:f>IF(C1362="","",MAX(0,ROUND(D1362+E1362-F1362-G1362-H1362,2)))</x:f>
      </x:c>
      <x:c r="J1362" s="88" t="str">
        <x:f>IF(C1362="","",F1362+G1362+H1362)</x:f>
      </x:c>
      <x:c r="K1362" s="88" t="str">
        <x:f>IF(C1362="","",MAX(0,SUMIFS(SONDERZAHLUNGEN!$E$9:$E$128,SONDERZAHLUNGEN!$B$9:$B$128,C1362,SONDERZAHLUNGEN!$C$9:$C$128,A1362,SONDERZAHLUNGEN!$H$9:$H$128,"OK",SONDERZAHLUNGEN!$F$9:$F$128,"Ja")-G1362))</x:f>
      </x:c>
    </x:row>
    <x:row r="1363" ht="19" customHeight="1">
      <x:c r="A1363" s="90" t="n">
        <x:f>MONATSBUDGET!$A$75</x:f>
        <x:v>48274</x:v>
      </x:c>
      <x:c r="B1363" t="n">
        <x:f>4</x:f>
        <x:v>4</x:v>
      </x:c>
      <x:c r="C1363" t="str">
        <x:f>IF($N$12="","",$N$12)</x:f>
      </x:c>
      <x:c r="D1363" s="88" t="str">
        <x:f>IF(C1363="","",I1343)</x:f>
      </x:c>
      <x:c r="E1363" s="88" t="str">
        <x:f>IF(C1363="","",ROUND(D1363*$P$12/12,2))</x:f>
      </x:c>
      <x:c r="F1363" s="88" t="str">
        <x:f>IF(C1363="","",MIN(D1363+E1363,$Q$12))</x:f>
      </x:c>
      <x:c r="G1363" s="88" t="str">
        <x:f>IF(C1363="","",MIN(MAX(0,D1363+E1363-F1363),SUMIFS(SONDERZAHLUNGEN!$E$9:$E$128,SONDERZAHLUNGEN!$B$9:$B$128,C1363,SONDERZAHLUNGEN!$C$9:$C$128,A1363,SONDERZAHLUNGEN!$H$9:$H$128,"OK",SONDERZAHLUNGEN!$F$9:$F$128,"Ja")))</x:f>
      </x:c>
      <x:c r="H1363" s="88" t="str">
        <x:f>IF(C1363="","",MIN(MAX(0,D1363+E1363-F1363-G1363),MAX(0,IF(MONATSBUDGET!$C$75="",0,MONATSBUDGET!$C$75)-SUM(F1360:F1379)-SUM(H1360:H1362))))</x:f>
      </x:c>
      <x:c r="I1363" s="88" t="str">
        <x:f>IF(C1363="","",MAX(0,ROUND(D1363+E1363-F1363-G1363-H1363,2)))</x:f>
      </x:c>
      <x:c r="J1363" s="88" t="str">
        <x:f>IF(C1363="","",F1363+G1363+H1363)</x:f>
      </x:c>
      <x:c r="K1363" s="88" t="str">
        <x:f>IF(C1363="","",MAX(0,SUMIFS(SONDERZAHLUNGEN!$E$9:$E$128,SONDERZAHLUNGEN!$B$9:$B$128,C1363,SONDERZAHLUNGEN!$C$9:$C$128,A1363,SONDERZAHLUNGEN!$H$9:$H$128,"OK",SONDERZAHLUNGEN!$F$9:$F$128,"Ja")-G1363))</x:f>
      </x:c>
    </x:row>
    <x:row r="1364" ht="19" customHeight="1">
      <x:c r="A1364" s="90" t="n">
        <x:f>MONATSBUDGET!$A$75</x:f>
        <x:v>48274</x:v>
      </x:c>
      <x:c r="B1364" t="n">
        <x:f>5</x:f>
        <x:v>5</x:v>
      </x:c>
      <x:c r="C1364" t="str">
        <x:f>IF($N$13="","",$N$13)</x:f>
      </x:c>
      <x:c r="D1364" s="88" t="str">
        <x:f>IF(C1364="","",I1344)</x:f>
      </x:c>
      <x:c r="E1364" s="88" t="str">
        <x:f>IF(C1364="","",ROUND(D1364*$P$13/12,2))</x:f>
      </x:c>
      <x:c r="F1364" s="88" t="str">
        <x:f>IF(C1364="","",MIN(D1364+E1364,$Q$13))</x:f>
      </x:c>
      <x:c r="G1364" s="88" t="str">
        <x:f>IF(C1364="","",MIN(MAX(0,D1364+E1364-F1364),SUMIFS(SONDERZAHLUNGEN!$E$9:$E$128,SONDERZAHLUNGEN!$B$9:$B$128,C1364,SONDERZAHLUNGEN!$C$9:$C$128,A1364,SONDERZAHLUNGEN!$H$9:$H$128,"OK",SONDERZAHLUNGEN!$F$9:$F$128,"Ja")))</x:f>
      </x:c>
      <x:c r="H1364" s="88" t="str">
        <x:f>IF(C1364="","",MIN(MAX(0,D1364+E1364-F1364-G1364),MAX(0,IF(MONATSBUDGET!$C$75="",0,MONATSBUDGET!$C$75)-SUM(F1360:F1379)-SUM(H1360:H1363))))</x:f>
      </x:c>
      <x:c r="I1364" s="88" t="str">
        <x:f>IF(C1364="","",MAX(0,ROUND(D1364+E1364-F1364-G1364-H1364,2)))</x:f>
      </x:c>
      <x:c r="J1364" s="88" t="str">
        <x:f>IF(C1364="","",F1364+G1364+H1364)</x:f>
      </x:c>
      <x:c r="K1364" s="88" t="str">
        <x:f>IF(C1364="","",MAX(0,SUMIFS(SONDERZAHLUNGEN!$E$9:$E$128,SONDERZAHLUNGEN!$B$9:$B$128,C1364,SONDERZAHLUNGEN!$C$9:$C$128,A1364,SONDERZAHLUNGEN!$H$9:$H$128,"OK",SONDERZAHLUNGEN!$F$9:$F$128,"Ja")-G1364))</x:f>
      </x:c>
    </x:row>
    <x:row r="1365" ht="19" customHeight="1">
      <x:c r="A1365" s="90" t="n">
        <x:f>MONATSBUDGET!$A$75</x:f>
        <x:v>48274</x:v>
      </x:c>
      <x:c r="B1365" t="n">
        <x:f>6</x:f>
        <x:v>6</x:v>
      </x:c>
      <x:c r="C1365" t="str">
        <x:f>IF($N$14="","",$N$14)</x:f>
      </x:c>
      <x:c r="D1365" s="88" t="str">
        <x:f>IF(C1365="","",I1345)</x:f>
      </x:c>
      <x:c r="E1365" s="88" t="str">
        <x:f>IF(C1365="","",ROUND(D1365*$P$14/12,2))</x:f>
      </x:c>
      <x:c r="F1365" s="88" t="str">
        <x:f>IF(C1365="","",MIN(D1365+E1365,$Q$14))</x:f>
      </x:c>
      <x:c r="G1365" s="88" t="str">
        <x:f>IF(C1365="","",MIN(MAX(0,D1365+E1365-F1365),SUMIFS(SONDERZAHLUNGEN!$E$9:$E$128,SONDERZAHLUNGEN!$B$9:$B$128,C1365,SONDERZAHLUNGEN!$C$9:$C$128,A1365,SONDERZAHLUNGEN!$H$9:$H$128,"OK",SONDERZAHLUNGEN!$F$9:$F$128,"Ja")))</x:f>
      </x:c>
      <x:c r="H1365" s="88" t="str">
        <x:f>IF(C1365="","",MIN(MAX(0,D1365+E1365-F1365-G1365),MAX(0,IF(MONATSBUDGET!$C$75="",0,MONATSBUDGET!$C$75)-SUM(F1360:F1379)-SUM(H1360:H1364))))</x:f>
      </x:c>
      <x:c r="I1365" s="88" t="str">
        <x:f>IF(C1365="","",MAX(0,ROUND(D1365+E1365-F1365-G1365-H1365,2)))</x:f>
      </x:c>
      <x:c r="J1365" s="88" t="str">
        <x:f>IF(C1365="","",F1365+G1365+H1365)</x:f>
      </x:c>
      <x:c r="K1365" s="88" t="str">
        <x:f>IF(C1365="","",MAX(0,SUMIFS(SONDERZAHLUNGEN!$E$9:$E$128,SONDERZAHLUNGEN!$B$9:$B$128,C1365,SONDERZAHLUNGEN!$C$9:$C$128,A1365,SONDERZAHLUNGEN!$H$9:$H$128,"OK",SONDERZAHLUNGEN!$F$9:$F$128,"Ja")-G1365))</x:f>
      </x:c>
    </x:row>
    <x:row r="1366" ht="19" customHeight="1">
      <x:c r="A1366" s="90" t="n">
        <x:f>MONATSBUDGET!$A$75</x:f>
        <x:v>48274</x:v>
      </x:c>
      <x:c r="B1366" t="n">
        <x:f>7</x:f>
        <x:v>7</x:v>
      </x:c>
      <x:c r="C1366" t="str">
        <x:f>IF($N$15="","",$N$15)</x:f>
      </x:c>
      <x:c r="D1366" s="88" t="str">
        <x:f>IF(C1366="","",I1346)</x:f>
      </x:c>
      <x:c r="E1366" s="88" t="str">
        <x:f>IF(C1366="","",ROUND(D1366*$P$15/12,2))</x:f>
      </x:c>
      <x:c r="F1366" s="88" t="str">
        <x:f>IF(C1366="","",MIN(D1366+E1366,$Q$15))</x:f>
      </x:c>
      <x:c r="G1366" s="88" t="str">
        <x:f>IF(C1366="","",MIN(MAX(0,D1366+E1366-F1366),SUMIFS(SONDERZAHLUNGEN!$E$9:$E$128,SONDERZAHLUNGEN!$B$9:$B$128,C1366,SONDERZAHLUNGEN!$C$9:$C$128,A1366,SONDERZAHLUNGEN!$H$9:$H$128,"OK",SONDERZAHLUNGEN!$F$9:$F$128,"Ja")))</x:f>
      </x:c>
      <x:c r="H1366" s="88" t="str">
        <x:f>IF(C1366="","",MIN(MAX(0,D1366+E1366-F1366-G1366),MAX(0,IF(MONATSBUDGET!$C$75="",0,MONATSBUDGET!$C$75)-SUM(F1360:F1379)-SUM(H1360:H1365))))</x:f>
      </x:c>
      <x:c r="I1366" s="88" t="str">
        <x:f>IF(C1366="","",MAX(0,ROUND(D1366+E1366-F1366-G1366-H1366,2)))</x:f>
      </x:c>
      <x:c r="J1366" s="88" t="str">
        <x:f>IF(C1366="","",F1366+G1366+H1366)</x:f>
      </x:c>
      <x:c r="K1366" s="88" t="str">
        <x:f>IF(C1366="","",MAX(0,SUMIFS(SONDERZAHLUNGEN!$E$9:$E$128,SONDERZAHLUNGEN!$B$9:$B$128,C1366,SONDERZAHLUNGEN!$C$9:$C$128,A1366,SONDERZAHLUNGEN!$H$9:$H$128,"OK",SONDERZAHLUNGEN!$F$9:$F$128,"Ja")-G1366))</x:f>
      </x:c>
    </x:row>
    <x:row r="1367" ht="19" customHeight="1">
      <x:c r="A1367" s="90" t="n">
        <x:f>MONATSBUDGET!$A$75</x:f>
        <x:v>48274</x:v>
      </x:c>
      <x:c r="B1367" t="n">
        <x:f>8</x:f>
        <x:v>8</x:v>
      </x:c>
      <x:c r="C1367" t="str">
        <x:f>IF($N$16="","",$N$16)</x:f>
      </x:c>
      <x:c r="D1367" s="88" t="str">
        <x:f>IF(C1367="","",I1347)</x:f>
      </x:c>
      <x:c r="E1367" s="88" t="str">
        <x:f>IF(C1367="","",ROUND(D1367*$P$16/12,2))</x:f>
      </x:c>
      <x:c r="F1367" s="88" t="str">
        <x:f>IF(C1367="","",MIN(D1367+E1367,$Q$16))</x:f>
      </x:c>
      <x:c r="G1367" s="88" t="str">
        <x:f>IF(C1367="","",MIN(MAX(0,D1367+E1367-F1367),SUMIFS(SONDERZAHLUNGEN!$E$9:$E$128,SONDERZAHLUNGEN!$B$9:$B$128,C1367,SONDERZAHLUNGEN!$C$9:$C$128,A1367,SONDERZAHLUNGEN!$H$9:$H$128,"OK",SONDERZAHLUNGEN!$F$9:$F$128,"Ja")))</x:f>
      </x:c>
      <x:c r="H1367" s="88" t="str">
        <x:f>IF(C1367="","",MIN(MAX(0,D1367+E1367-F1367-G1367),MAX(0,IF(MONATSBUDGET!$C$75="",0,MONATSBUDGET!$C$75)-SUM(F1360:F1379)-SUM(H1360:H1366))))</x:f>
      </x:c>
      <x:c r="I1367" s="88" t="str">
        <x:f>IF(C1367="","",MAX(0,ROUND(D1367+E1367-F1367-G1367-H1367,2)))</x:f>
      </x:c>
      <x:c r="J1367" s="88" t="str">
        <x:f>IF(C1367="","",F1367+G1367+H1367)</x:f>
      </x:c>
      <x:c r="K1367" s="88" t="str">
        <x:f>IF(C1367="","",MAX(0,SUMIFS(SONDERZAHLUNGEN!$E$9:$E$128,SONDERZAHLUNGEN!$B$9:$B$128,C1367,SONDERZAHLUNGEN!$C$9:$C$128,A1367,SONDERZAHLUNGEN!$H$9:$H$128,"OK",SONDERZAHLUNGEN!$F$9:$F$128,"Ja")-G1367))</x:f>
      </x:c>
    </x:row>
    <x:row r="1368" ht="19" customHeight="1">
      <x:c r="A1368" s="90" t="n">
        <x:f>MONATSBUDGET!$A$75</x:f>
        <x:v>48274</x:v>
      </x:c>
      <x:c r="B1368" t="n">
        <x:f>9</x:f>
        <x:v>9</x:v>
      </x:c>
      <x:c r="C1368" t="str">
        <x:f>IF($N$17="","",$N$17)</x:f>
      </x:c>
      <x:c r="D1368" s="88" t="str">
        <x:f>IF(C1368="","",I1348)</x:f>
      </x:c>
      <x:c r="E1368" s="88" t="str">
        <x:f>IF(C1368="","",ROUND(D1368*$P$17/12,2))</x:f>
      </x:c>
      <x:c r="F1368" s="88" t="str">
        <x:f>IF(C1368="","",MIN(D1368+E1368,$Q$17))</x:f>
      </x:c>
      <x:c r="G1368" s="88" t="str">
        <x:f>IF(C1368="","",MIN(MAX(0,D1368+E1368-F1368),SUMIFS(SONDERZAHLUNGEN!$E$9:$E$128,SONDERZAHLUNGEN!$B$9:$B$128,C1368,SONDERZAHLUNGEN!$C$9:$C$128,A1368,SONDERZAHLUNGEN!$H$9:$H$128,"OK",SONDERZAHLUNGEN!$F$9:$F$128,"Ja")))</x:f>
      </x:c>
      <x:c r="H1368" s="88" t="str">
        <x:f>IF(C1368="","",MIN(MAX(0,D1368+E1368-F1368-G1368),MAX(0,IF(MONATSBUDGET!$C$75="",0,MONATSBUDGET!$C$75)-SUM(F1360:F1379)-SUM(H1360:H1367))))</x:f>
      </x:c>
      <x:c r="I1368" s="88" t="str">
        <x:f>IF(C1368="","",MAX(0,ROUND(D1368+E1368-F1368-G1368-H1368,2)))</x:f>
      </x:c>
      <x:c r="J1368" s="88" t="str">
        <x:f>IF(C1368="","",F1368+G1368+H1368)</x:f>
      </x:c>
      <x:c r="K1368" s="88" t="str">
        <x:f>IF(C1368="","",MAX(0,SUMIFS(SONDERZAHLUNGEN!$E$9:$E$128,SONDERZAHLUNGEN!$B$9:$B$128,C1368,SONDERZAHLUNGEN!$C$9:$C$128,A1368,SONDERZAHLUNGEN!$H$9:$H$128,"OK",SONDERZAHLUNGEN!$F$9:$F$128,"Ja")-G1368))</x:f>
      </x:c>
    </x:row>
    <x:row r="1369" ht="19" customHeight="1">
      <x:c r="A1369" s="90" t="n">
        <x:f>MONATSBUDGET!$A$75</x:f>
        <x:v>48274</x:v>
      </x:c>
      <x:c r="B1369" t="n">
        <x:f>10</x:f>
        <x:v>10</x:v>
      </x:c>
      <x:c r="C1369" t="str">
        <x:f>IF($N$18="","",$N$18)</x:f>
      </x:c>
      <x:c r="D1369" s="88" t="str">
        <x:f>IF(C1369="","",I1349)</x:f>
      </x:c>
      <x:c r="E1369" s="88" t="str">
        <x:f>IF(C1369="","",ROUND(D1369*$P$18/12,2))</x:f>
      </x:c>
      <x:c r="F1369" s="88" t="str">
        <x:f>IF(C1369="","",MIN(D1369+E1369,$Q$18))</x:f>
      </x:c>
      <x:c r="G1369" s="88" t="str">
        <x:f>IF(C1369="","",MIN(MAX(0,D1369+E1369-F1369),SUMIFS(SONDERZAHLUNGEN!$E$9:$E$128,SONDERZAHLUNGEN!$B$9:$B$128,C1369,SONDERZAHLUNGEN!$C$9:$C$128,A1369,SONDERZAHLUNGEN!$H$9:$H$128,"OK",SONDERZAHLUNGEN!$F$9:$F$128,"Ja")))</x:f>
      </x:c>
      <x:c r="H1369" s="88" t="str">
        <x:f>IF(C1369="","",MIN(MAX(0,D1369+E1369-F1369-G1369),MAX(0,IF(MONATSBUDGET!$C$75="",0,MONATSBUDGET!$C$75)-SUM(F1360:F1379)-SUM(H1360:H1368))))</x:f>
      </x:c>
      <x:c r="I1369" s="88" t="str">
        <x:f>IF(C1369="","",MAX(0,ROUND(D1369+E1369-F1369-G1369-H1369,2)))</x:f>
      </x:c>
      <x:c r="J1369" s="88" t="str">
        <x:f>IF(C1369="","",F1369+G1369+H1369)</x:f>
      </x:c>
      <x:c r="K1369" s="88" t="str">
        <x:f>IF(C1369="","",MAX(0,SUMIFS(SONDERZAHLUNGEN!$E$9:$E$128,SONDERZAHLUNGEN!$B$9:$B$128,C1369,SONDERZAHLUNGEN!$C$9:$C$128,A1369,SONDERZAHLUNGEN!$H$9:$H$128,"OK",SONDERZAHLUNGEN!$F$9:$F$128,"Ja")-G1369))</x:f>
      </x:c>
    </x:row>
    <x:row r="1370" ht="19" customHeight="1">
      <x:c r="A1370" s="90" t="n">
        <x:f>MONATSBUDGET!$A$75</x:f>
        <x:v>48274</x:v>
      </x:c>
      <x:c r="B1370" t="n">
        <x:f>11</x:f>
        <x:v>11</x:v>
      </x:c>
      <x:c r="C1370" t="str">
        <x:f>IF($N$19="","",$N$19)</x:f>
      </x:c>
      <x:c r="D1370" s="88" t="str">
        <x:f>IF(C1370="","",I1350)</x:f>
      </x:c>
      <x:c r="E1370" s="88" t="str">
        <x:f>IF(C1370="","",ROUND(D1370*$P$19/12,2))</x:f>
      </x:c>
      <x:c r="F1370" s="88" t="str">
        <x:f>IF(C1370="","",MIN(D1370+E1370,$Q$19))</x:f>
      </x:c>
      <x:c r="G1370" s="88" t="str">
        <x:f>IF(C1370="","",MIN(MAX(0,D1370+E1370-F1370),SUMIFS(SONDERZAHLUNGEN!$E$9:$E$128,SONDERZAHLUNGEN!$B$9:$B$128,C1370,SONDERZAHLUNGEN!$C$9:$C$128,A1370,SONDERZAHLUNGEN!$H$9:$H$128,"OK",SONDERZAHLUNGEN!$F$9:$F$128,"Ja")))</x:f>
      </x:c>
      <x:c r="H1370" s="88" t="str">
        <x:f>IF(C1370="","",MIN(MAX(0,D1370+E1370-F1370-G1370),MAX(0,IF(MONATSBUDGET!$C$75="",0,MONATSBUDGET!$C$75)-SUM(F1360:F1379)-SUM(H1360:H1369))))</x:f>
      </x:c>
      <x:c r="I1370" s="88" t="str">
        <x:f>IF(C1370="","",MAX(0,ROUND(D1370+E1370-F1370-G1370-H1370,2)))</x:f>
      </x:c>
      <x:c r="J1370" s="88" t="str">
        <x:f>IF(C1370="","",F1370+G1370+H1370)</x:f>
      </x:c>
      <x:c r="K1370" s="88" t="str">
        <x:f>IF(C1370="","",MAX(0,SUMIFS(SONDERZAHLUNGEN!$E$9:$E$128,SONDERZAHLUNGEN!$B$9:$B$128,C1370,SONDERZAHLUNGEN!$C$9:$C$128,A1370,SONDERZAHLUNGEN!$H$9:$H$128,"OK",SONDERZAHLUNGEN!$F$9:$F$128,"Ja")-G1370))</x:f>
      </x:c>
    </x:row>
    <x:row r="1371" ht="19" customHeight="1">
      <x:c r="A1371" s="90" t="n">
        <x:f>MONATSBUDGET!$A$75</x:f>
        <x:v>48274</x:v>
      </x:c>
      <x:c r="B1371" t="n">
        <x:f>12</x:f>
        <x:v>12</x:v>
      </x:c>
      <x:c r="C1371" t="str">
        <x:f>IF($N$20="","",$N$20)</x:f>
      </x:c>
      <x:c r="D1371" s="88" t="str">
        <x:f>IF(C1371="","",I1351)</x:f>
      </x:c>
      <x:c r="E1371" s="88" t="str">
        <x:f>IF(C1371="","",ROUND(D1371*$P$20/12,2))</x:f>
      </x:c>
      <x:c r="F1371" s="88" t="str">
        <x:f>IF(C1371="","",MIN(D1371+E1371,$Q$20))</x:f>
      </x:c>
      <x:c r="G1371" s="88" t="str">
        <x:f>IF(C1371="","",MIN(MAX(0,D1371+E1371-F1371),SUMIFS(SONDERZAHLUNGEN!$E$9:$E$128,SONDERZAHLUNGEN!$B$9:$B$128,C1371,SONDERZAHLUNGEN!$C$9:$C$128,A1371,SONDERZAHLUNGEN!$H$9:$H$128,"OK",SONDERZAHLUNGEN!$F$9:$F$128,"Ja")))</x:f>
      </x:c>
      <x:c r="H1371" s="88" t="str">
        <x:f>IF(C1371="","",MIN(MAX(0,D1371+E1371-F1371-G1371),MAX(0,IF(MONATSBUDGET!$C$75="",0,MONATSBUDGET!$C$75)-SUM(F1360:F1379)-SUM(H1360:H1370))))</x:f>
      </x:c>
      <x:c r="I1371" s="88" t="str">
        <x:f>IF(C1371="","",MAX(0,ROUND(D1371+E1371-F1371-G1371-H1371,2)))</x:f>
      </x:c>
      <x:c r="J1371" s="88" t="str">
        <x:f>IF(C1371="","",F1371+G1371+H1371)</x:f>
      </x:c>
      <x:c r="K1371" s="88" t="str">
        <x:f>IF(C1371="","",MAX(0,SUMIFS(SONDERZAHLUNGEN!$E$9:$E$128,SONDERZAHLUNGEN!$B$9:$B$128,C1371,SONDERZAHLUNGEN!$C$9:$C$128,A1371,SONDERZAHLUNGEN!$H$9:$H$128,"OK",SONDERZAHLUNGEN!$F$9:$F$128,"Ja")-G1371))</x:f>
      </x:c>
    </x:row>
    <x:row r="1372" ht="19" customHeight="1">
      <x:c r="A1372" s="90" t="n">
        <x:f>MONATSBUDGET!$A$75</x:f>
        <x:v>48274</x:v>
      </x:c>
      <x:c r="B1372" t="n">
        <x:f>13</x:f>
        <x:v>13</x:v>
      </x:c>
      <x:c r="C1372" t="str">
        <x:f>IF($N$21="","",$N$21)</x:f>
      </x:c>
      <x:c r="D1372" s="88" t="str">
        <x:f>IF(C1372="","",I1352)</x:f>
      </x:c>
      <x:c r="E1372" s="88" t="str">
        <x:f>IF(C1372="","",ROUND(D1372*$P$21/12,2))</x:f>
      </x:c>
      <x:c r="F1372" s="88" t="str">
        <x:f>IF(C1372="","",MIN(D1372+E1372,$Q$21))</x:f>
      </x:c>
      <x:c r="G1372" s="88" t="str">
        <x:f>IF(C1372="","",MIN(MAX(0,D1372+E1372-F1372),SUMIFS(SONDERZAHLUNGEN!$E$9:$E$128,SONDERZAHLUNGEN!$B$9:$B$128,C1372,SONDERZAHLUNGEN!$C$9:$C$128,A1372,SONDERZAHLUNGEN!$H$9:$H$128,"OK",SONDERZAHLUNGEN!$F$9:$F$128,"Ja")))</x:f>
      </x:c>
      <x:c r="H1372" s="88" t="str">
        <x:f>IF(C1372="","",MIN(MAX(0,D1372+E1372-F1372-G1372),MAX(0,IF(MONATSBUDGET!$C$75="",0,MONATSBUDGET!$C$75)-SUM(F1360:F1379)-SUM(H1360:H1371))))</x:f>
      </x:c>
      <x:c r="I1372" s="88" t="str">
        <x:f>IF(C1372="","",MAX(0,ROUND(D1372+E1372-F1372-G1372-H1372,2)))</x:f>
      </x:c>
      <x:c r="J1372" s="88" t="str">
        <x:f>IF(C1372="","",F1372+G1372+H1372)</x:f>
      </x:c>
      <x:c r="K1372" s="88" t="str">
        <x:f>IF(C1372="","",MAX(0,SUMIFS(SONDERZAHLUNGEN!$E$9:$E$128,SONDERZAHLUNGEN!$B$9:$B$128,C1372,SONDERZAHLUNGEN!$C$9:$C$128,A1372,SONDERZAHLUNGEN!$H$9:$H$128,"OK",SONDERZAHLUNGEN!$F$9:$F$128,"Ja")-G1372))</x:f>
      </x:c>
    </x:row>
    <x:row r="1373" ht="19" customHeight="1">
      <x:c r="A1373" s="90" t="n">
        <x:f>MONATSBUDGET!$A$75</x:f>
        <x:v>48274</x:v>
      </x:c>
      <x:c r="B1373" t="n">
        <x:f>14</x:f>
        <x:v>14</x:v>
      </x:c>
      <x:c r="C1373" t="str">
        <x:f>IF($N$22="","",$N$22)</x:f>
      </x:c>
      <x:c r="D1373" s="88" t="str">
        <x:f>IF(C1373="","",I1353)</x:f>
      </x:c>
      <x:c r="E1373" s="88" t="str">
        <x:f>IF(C1373="","",ROUND(D1373*$P$22/12,2))</x:f>
      </x:c>
      <x:c r="F1373" s="88" t="str">
        <x:f>IF(C1373="","",MIN(D1373+E1373,$Q$22))</x:f>
      </x:c>
      <x:c r="G1373" s="88" t="str">
        <x:f>IF(C1373="","",MIN(MAX(0,D1373+E1373-F1373),SUMIFS(SONDERZAHLUNGEN!$E$9:$E$128,SONDERZAHLUNGEN!$B$9:$B$128,C1373,SONDERZAHLUNGEN!$C$9:$C$128,A1373,SONDERZAHLUNGEN!$H$9:$H$128,"OK",SONDERZAHLUNGEN!$F$9:$F$128,"Ja")))</x:f>
      </x:c>
      <x:c r="H1373" s="88" t="str">
        <x:f>IF(C1373="","",MIN(MAX(0,D1373+E1373-F1373-G1373),MAX(0,IF(MONATSBUDGET!$C$75="",0,MONATSBUDGET!$C$75)-SUM(F1360:F1379)-SUM(H1360:H1372))))</x:f>
      </x:c>
      <x:c r="I1373" s="88" t="str">
        <x:f>IF(C1373="","",MAX(0,ROUND(D1373+E1373-F1373-G1373-H1373,2)))</x:f>
      </x:c>
      <x:c r="J1373" s="88" t="str">
        <x:f>IF(C1373="","",F1373+G1373+H1373)</x:f>
      </x:c>
      <x:c r="K1373" s="88" t="str">
        <x:f>IF(C1373="","",MAX(0,SUMIFS(SONDERZAHLUNGEN!$E$9:$E$128,SONDERZAHLUNGEN!$B$9:$B$128,C1373,SONDERZAHLUNGEN!$C$9:$C$128,A1373,SONDERZAHLUNGEN!$H$9:$H$128,"OK",SONDERZAHLUNGEN!$F$9:$F$128,"Ja")-G1373))</x:f>
      </x:c>
    </x:row>
    <x:row r="1374" ht="19" customHeight="1">
      <x:c r="A1374" s="90" t="n">
        <x:f>MONATSBUDGET!$A$75</x:f>
        <x:v>48274</x:v>
      </x:c>
      <x:c r="B1374" t="n">
        <x:f>15</x:f>
        <x:v>15</x:v>
      </x:c>
      <x:c r="C1374" t="str">
        <x:f>IF($N$23="","",$N$23)</x:f>
      </x:c>
      <x:c r="D1374" s="88" t="str">
        <x:f>IF(C1374="","",I1354)</x:f>
      </x:c>
      <x:c r="E1374" s="88" t="str">
        <x:f>IF(C1374="","",ROUND(D1374*$P$23/12,2))</x:f>
      </x:c>
      <x:c r="F1374" s="88" t="str">
        <x:f>IF(C1374="","",MIN(D1374+E1374,$Q$23))</x:f>
      </x:c>
      <x:c r="G1374" s="88" t="str">
        <x:f>IF(C1374="","",MIN(MAX(0,D1374+E1374-F1374),SUMIFS(SONDERZAHLUNGEN!$E$9:$E$128,SONDERZAHLUNGEN!$B$9:$B$128,C1374,SONDERZAHLUNGEN!$C$9:$C$128,A1374,SONDERZAHLUNGEN!$H$9:$H$128,"OK",SONDERZAHLUNGEN!$F$9:$F$128,"Ja")))</x:f>
      </x:c>
      <x:c r="H1374" s="88" t="str">
        <x:f>IF(C1374="","",MIN(MAX(0,D1374+E1374-F1374-G1374),MAX(0,IF(MONATSBUDGET!$C$75="",0,MONATSBUDGET!$C$75)-SUM(F1360:F1379)-SUM(H1360:H1373))))</x:f>
      </x:c>
      <x:c r="I1374" s="88" t="str">
        <x:f>IF(C1374="","",MAX(0,ROUND(D1374+E1374-F1374-G1374-H1374,2)))</x:f>
      </x:c>
      <x:c r="J1374" s="88" t="str">
        <x:f>IF(C1374="","",F1374+G1374+H1374)</x:f>
      </x:c>
      <x:c r="K1374" s="88" t="str">
        <x:f>IF(C1374="","",MAX(0,SUMIFS(SONDERZAHLUNGEN!$E$9:$E$128,SONDERZAHLUNGEN!$B$9:$B$128,C1374,SONDERZAHLUNGEN!$C$9:$C$128,A1374,SONDERZAHLUNGEN!$H$9:$H$128,"OK",SONDERZAHLUNGEN!$F$9:$F$128,"Ja")-G1374))</x:f>
      </x:c>
    </x:row>
    <x:row r="1375" ht="19" customHeight="1">
      <x:c r="A1375" s="90" t="n">
        <x:f>MONATSBUDGET!$A$75</x:f>
        <x:v>48274</x:v>
      </x:c>
      <x:c r="B1375" t="n">
        <x:f>16</x:f>
        <x:v>16</x:v>
      </x:c>
      <x:c r="C1375" t="str">
        <x:f>IF($N$24="","",$N$24)</x:f>
      </x:c>
      <x:c r="D1375" s="88" t="str">
        <x:f>IF(C1375="","",I1355)</x:f>
      </x:c>
      <x:c r="E1375" s="88" t="str">
        <x:f>IF(C1375="","",ROUND(D1375*$P$24/12,2))</x:f>
      </x:c>
      <x:c r="F1375" s="88" t="str">
        <x:f>IF(C1375="","",MIN(D1375+E1375,$Q$24))</x:f>
      </x:c>
      <x:c r="G1375" s="88" t="str">
        <x:f>IF(C1375="","",MIN(MAX(0,D1375+E1375-F1375),SUMIFS(SONDERZAHLUNGEN!$E$9:$E$128,SONDERZAHLUNGEN!$B$9:$B$128,C1375,SONDERZAHLUNGEN!$C$9:$C$128,A1375,SONDERZAHLUNGEN!$H$9:$H$128,"OK",SONDERZAHLUNGEN!$F$9:$F$128,"Ja")))</x:f>
      </x:c>
      <x:c r="H1375" s="88" t="str">
        <x:f>IF(C1375="","",MIN(MAX(0,D1375+E1375-F1375-G1375),MAX(0,IF(MONATSBUDGET!$C$75="",0,MONATSBUDGET!$C$75)-SUM(F1360:F1379)-SUM(H1360:H1374))))</x:f>
      </x:c>
      <x:c r="I1375" s="88" t="str">
        <x:f>IF(C1375="","",MAX(0,ROUND(D1375+E1375-F1375-G1375-H1375,2)))</x:f>
      </x:c>
      <x:c r="J1375" s="88" t="str">
        <x:f>IF(C1375="","",F1375+G1375+H1375)</x:f>
      </x:c>
      <x:c r="K1375" s="88" t="str">
        <x:f>IF(C1375="","",MAX(0,SUMIFS(SONDERZAHLUNGEN!$E$9:$E$128,SONDERZAHLUNGEN!$B$9:$B$128,C1375,SONDERZAHLUNGEN!$C$9:$C$128,A1375,SONDERZAHLUNGEN!$H$9:$H$128,"OK",SONDERZAHLUNGEN!$F$9:$F$128,"Ja")-G1375))</x:f>
      </x:c>
    </x:row>
    <x:row r="1376" ht="19" customHeight="1">
      <x:c r="A1376" s="90" t="n">
        <x:f>MONATSBUDGET!$A$75</x:f>
        <x:v>48274</x:v>
      </x:c>
      <x:c r="B1376" t="n">
        <x:f>17</x:f>
        <x:v>17</x:v>
      </x:c>
      <x:c r="C1376" t="str">
        <x:f>IF($N$25="","",$N$25)</x:f>
      </x:c>
      <x:c r="D1376" s="88" t="str">
        <x:f>IF(C1376="","",I1356)</x:f>
      </x:c>
      <x:c r="E1376" s="88" t="str">
        <x:f>IF(C1376="","",ROUND(D1376*$P$25/12,2))</x:f>
      </x:c>
      <x:c r="F1376" s="88" t="str">
        <x:f>IF(C1376="","",MIN(D1376+E1376,$Q$25))</x:f>
      </x:c>
      <x:c r="G1376" s="88" t="str">
        <x:f>IF(C1376="","",MIN(MAX(0,D1376+E1376-F1376),SUMIFS(SONDERZAHLUNGEN!$E$9:$E$128,SONDERZAHLUNGEN!$B$9:$B$128,C1376,SONDERZAHLUNGEN!$C$9:$C$128,A1376,SONDERZAHLUNGEN!$H$9:$H$128,"OK",SONDERZAHLUNGEN!$F$9:$F$128,"Ja")))</x:f>
      </x:c>
      <x:c r="H1376" s="88" t="str">
        <x:f>IF(C1376="","",MIN(MAX(0,D1376+E1376-F1376-G1376),MAX(0,IF(MONATSBUDGET!$C$75="",0,MONATSBUDGET!$C$75)-SUM(F1360:F1379)-SUM(H1360:H1375))))</x:f>
      </x:c>
      <x:c r="I1376" s="88" t="str">
        <x:f>IF(C1376="","",MAX(0,ROUND(D1376+E1376-F1376-G1376-H1376,2)))</x:f>
      </x:c>
      <x:c r="J1376" s="88" t="str">
        <x:f>IF(C1376="","",F1376+G1376+H1376)</x:f>
      </x:c>
      <x:c r="K1376" s="88" t="str">
        <x:f>IF(C1376="","",MAX(0,SUMIFS(SONDERZAHLUNGEN!$E$9:$E$128,SONDERZAHLUNGEN!$B$9:$B$128,C1376,SONDERZAHLUNGEN!$C$9:$C$128,A1376,SONDERZAHLUNGEN!$H$9:$H$128,"OK",SONDERZAHLUNGEN!$F$9:$F$128,"Ja")-G1376))</x:f>
      </x:c>
    </x:row>
    <x:row r="1377" ht="19" customHeight="1">
      <x:c r="A1377" s="90" t="n">
        <x:f>MONATSBUDGET!$A$75</x:f>
        <x:v>48274</x:v>
      </x:c>
      <x:c r="B1377" t="n">
        <x:f>18</x:f>
        <x:v>18</x:v>
      </x:c>
      <x:c r="C1377" t="str">
        <x:f>IF($N$26="","",$N$26)</x:f>
      </x:c>
      <x:c r="D1377" s="88" t="str">
        <x:f>IF(C1377="","",I1357)</x:f>
      </x:c>
      <x:c r="E1377" s="88" t="str">
        <x:f>IF(C1377="","",ROUND(D1377*$P$26/12,2))</x:f>
      </x:c>
      <x:c r="F1377" s="88" t="str">
        <x:f>IF(C1377="","",MIN(D1377+E1377,$Q$26))</x:f>
      </x:c>
      <x:c r="G1377" s="88" t="str">
        <x:f>IF(C1377="","",MIN(MAX(0,D1377+E1377-F1377),SUMIFS(SONDERZAHLUNGEN!$E$9:$E$128,SONDERZAHLUNGEN!$B$9:$B$128,C1377,SONDERZAHLUNGEN!$C$9:$C$128,A1377,SONDERZAHLUNGEN!$H$9:$H$128,"OK",SONDERZAHLUNGEN!$F$9:$F$128,"Ja")))</x:f>
      </x:c>
      <x:c r="H1377" s="88" t="str">
        <x:f>IF(C1377="","",MIN(MAX(0,D1377+E1377-F1377-G1377),MAX(0,IF(MONATSBUDGET!$C$75="",0,MONATSBUDGET!$C$75)-SUM(F1360:F1379)-SUM(H1360:H1376))))</x:f>
      </x:c>
      <x:c r="I1377" s="88" t="str">
        <x:f>IF(C1377="","",MAX(0,ROUND(D1377+E1377-F1377-G1377-H1377,2)))</x:f>
      </x:c>
      <x:c r="J1377" s="88" t="str">
        <x:f>IF(C1377="","",F1377+G1377+H1377)</x:f>
      </x:c>
      <x:c r="K1377" s="88" t="str">
        <x:f>IF(C1377="","",MAX(0,SUMIFS(SONDERZAHLUNGEN!$E$9:$E$128,SONDERZAHLUNGEN!$B$9:$B$128,C1377,SONDERZAHLUNGEN!$C$9:$C$128,A1377,SONDERZAHLUNGEN!$H$9:$H$128,"OK",SONDERZAHLUNGEN!$F$9:$F$128,"Ja")-G1377))</x:f>
      </x:c>
    </x:row>
    <x:row r="1378" ht="19" customHeight="1">
      <x:c r="A1378" s="90" t="n">
        <x:f>MONATSBUDGET!$A$75</x:f>
        <x:v>48274</x:v>
      </x:c>
      <x:c r="B1378" t="n">
        <x:f>19</x:f>
        <x:v>19</x:v>
      </x:c>
      <x:c r="C1378" t="str">
        <x:f>IF($N$27="","",$N$27)</x:f>
      </x:c>
      <x:c r="D1378" s="88" t="str">
        <x:f>IF(C1378="","",I1358)</x:f>
      </x:c>
      <x:c r="E1378" s="88" t="str">
        <x:f>IF(C1378="","",ROUND(D1378*$P$27/12,2))</x:f>
      </x:c>
      <x:c r="F1378" s="88" t="str">
        <x:f>IF(C1378="","",MIN(D1378+E1378,$Q$27))</x:f>
      </x:c>
      <x:c r="G1378" s="88" t="str">
        <x:f>IF(C1378="","",MIN(MAX(0,D1378+E1378-F1378),SUMIFS(SONDERZAHLUNGEN!$E$9:$E$128,SONDERZAHLUNGEN!$B$9:$B$128,C1378,SONDERZAHLUNGEN!$C$9:$C$128,A1378,SONDERZAHLUNGEN!$H$9:$H$128,"OK",SONDERZAHLUNGEN!$F$9:$F$128,"Ja")))</x:f>
      </x:c>
      <x:c r="H1378" s="88" t="str">
        <x:f>IF(C1378="","",MIN(MAX(0,D1378+E1378-F1378-G1378),MAX(0,IF(MONATSBUDGET!$C$75="",0,MONATSBUDGET!$C$75)-SUM(F1360:F1379)-SUM(H1360:H1377))))</x:f>
      </x:c>
      <x:c r="I1378" s="88" t="str">
        <x:f>IF(C1378="","",MAX(0,ROUND(D1378+E1378-F1378-G1378-H1378,2)))</x:f>
      </x:c>
      <x:c r="J1378" s="88" t="str">
        <x:f>IF(C1378="","",F1378+G1378+H1378)</x:f>
      </x:c>
      <x:c r="K1378" s="88" t="str">
        <x:f>IF(C1378="","",MAX(0,SUMIFS(SONDERZAHLUNGEN!$E$9:$E$128,SONDERZAHLUNGEN!$B$9:$B$128,C1378,SONDERZAHLUNGEN!$C$9:$C$128,A1378,SONDERZAHLUNGEN!$H$9:$H$128,"OK",SONDERZAHLUNGEN!$F$9:$F$128,"Ja")-G1378))</x:f>
      </x:c>
    </x:row>
    <x:row r="1379" ht="19" customHeight="1">
      <x:c r="A1379" s="90" t="n">
        <x:f>MONATSBUDGET!$A$75</x:f>
        <x:v>48274</x:v>
      </x:c>
      <x:c r="B1379" t="n">
        <x:f>20</x:f>
        <x:v>20</x:v>
      </x:c>
      <x:c r="C1379" t="str">
        <x:f>IF($N$28="","",$N$28)</x:f>
      </x:c>
      <x:c r="D1379" s="88" t="str">
        <x:f>IF(C1379="","",I1359)</x:f>
      </x:c>
      <x:c r="E1379" s="88" t="str">
        <x:f>IF(C1379="","",ROUND(D1379*$P$28/12,2))</x:f>
      </x:c>
      <x:c r="F1379" s="88" t="str">
        <x:f>IF(C1379="","",MIN(D1379+E1379,$Q$28))</x:f>
      </x:c>
      <x:c r="G1379" s="88" t="str">
        <x:f>IF(C1379="","",MIN(MAX(0,D1379+E1379-F1379),SUMIFS(SONDERZAHLUNGEN!$E$9:$E$128,SONDERZAHLUNGEN!$B$9:$B$128,C1379,SONDERZAHLUNGEN!$C$9:$C$128,A1379,SONDERZAHLUNGEN!$H$9:$H$128,"OK",SONDERZAHLUNGEN!$F$9:$F$128,"Ja")))</x:f>
      </x:c>
      <x:c r="H1379" s="88" t="str">
        <x:f>IF(C1379="","",MIN(MAX(0,D1379+E1379-F1379-G1379),MAX(0,IF(MONATSBUDGET!$C$75="",0,MONATSBUDGET!$C$75)-SUM(F1360:F1379)-SUM(H1360:H1378))))</x:f>
      </x:c>
      <x:c r="I1379" s="88" t="str">
        <x:f>IF(C1379="","",MAX(0,ROUND(D1379+E1379-F1379-G1379-H1379,2)))</x:f>
      </x:c>
      <x:c r="J1379" s="88" t="str">
        <x:f>IF(C1379="","",F1379+G1379+H1379)</x:f>
      </x:c>
      <x:c r="K1379" s="88" t="str">
        <x:f>IF(C1379="","",MAX(0,SUMIFS(SONDERZAHLUNGEN!$E$9:$E$128,SONDERZAHLUNGEN!$B$9:$B$128,C1379,SONDERZAHLUNGEN!$C$9:$C$128,A1379,SONDERZAHLUNGEN!$H$9:$H$128,"OK",SONDERZAHLUNGEN!$F$9:$F$128,"Ja")-G1379))</x:f>
      </x:c>
    </x:row>
    <x:row r="1380" ht="19" customHeight="1">
      <x:c r="A1380" s="90" t="n">
        <x:f>MONATSBUDGET!$A$76</x:f>
        <x:v>48305</x:v>
      </x:c>
      <x:c r="B1380" t="n">
        <x:f>1</x:f>
        <x:v>1</x:v>
      </x:c>
      <x:c r="C1380" t="str">
        <x:f>IF($N$9="","",$N$9)</x:f>
      </x:c>
      <x:c r="D1380" s="88" t="str">
        <x:f>IF(C1380="","",I1360)</x:f>
      </x:c>
      <x:c r="E1380" s="88" t="str">
        <x:f>IF(C1380="","",ROUND(D1380*$P$9/12,2))</x:f>
      </x:c>
      <x:c r="F1380" s="88" t="str">
        <x:f>IF(C1380="","",MIN(D1380+E1380,$Q$9))</x:f>
      </x:c>
      <x:c r="G1380" s="88" t="str">
        <x:f>IF(C1380="","",MIN(MAX(0,D1380+E1380-F1380),SUMIFS(SONDERZAHLUNGEN!$E$9:$E$128,SONDERZAHLUNGEN!$B$9:$B$128,C1380,SONDERZAHLUNGEN!$C$9:$C$128,A1380,SONDERZAHLUNGEN!$H$9:$H$128,"OK",SONDERZAHLUNGEN!$F$9:$F$128,"Ja")))</x:f>
      </x:c>
      <x:c r="H1380" s="88" t="str">
        <x:f>IF(C1380="","",MIN(MAX(0,D1380+E1380-F1380-G1380),MAX(0,IF(MONATSBUDGET!$C$76="",0,MONATSBUDGET!$C$76)-SUM(F1380:F1399)-0)))</x:f>
      </x:c>
      <x:c r="I1380" s="88" t="str">
        <x:f>IF(C1380="","",MAX(0,ROUND(D1380+E1380-F1380-G1380-H1380,2)))</x:f>
      </x:c>
      <x:c r="J1380" s="88" t="str">
        <x:f>IF(C1380="","",F1380+G1380+H1380)</x:f>
      </x:c>
      <x:c r="K1380" s="88" t="str">
        <x:f>IF(C1380="","",MAX(0,SUMIFS(SONDERZAHLUNGEN!$E$9:$E$128,SONDERZAHLUNGEN!$B$9:$B$128,C1380,SONDERZAHLUNGEN!$C$9:$C$128,A1380,SONDERZAHLUNGEN!$H$9:$H$128,"OK",SONDERZAHLUNGEN!$F$9:$F$128,"Ja")-G1380))</x:f>
      </x:c>
    </x:row>
    <x:row r="1381" ht="19" customHeight="1">
      <x:c r="A1381" s="90" t="n">
        <x:f>MONATSBUDGET!$A$76</x:f>
        <x:v>48305</x:v>
      </x:c>
      <x:c r="B1381" t="n">
        <x:f>2</x:f>
        <x:v>2</x:v>
      </x:c>
      <x:c r="C1381" t="str">
        <x:f>IF($N$10="","",$N$10)</x:f>
      </x:c>
      <x:c r="D1381" s="88" t="str">
        <x:f>IF(C1381="","",I1361)</x:f>
      </x:c>
      <x:c r="E1381" s="88" t="str">
        <x:f>IF(C1381="","",ROUND(D1381*$P$10/12,2))</x:f>
      </x:c>
      <x:c r="F1381" s="88" t="str">
        <x:f>IF(C1381="","",MIN(D1381+E1381,$Q$10))</x:f>
      </x:c>
      <x:c r="G1381" s="88" t="str">
        <x:f>IF(C1381="","",MIN(MAX(0,D1381+E1381-F1381),SUMIFS(SONDERZAHLUNGEN!$E$9:$E$128,SONDERZAHLUNGEN!$B$9:$B$128,C1381,SONDERZAHLUNGEN!$C$9:$C$128,A1381,SONDERZAHLUNGEN!$H$9:$H$128,"OK",SONDERZAHLUNGEN!$F$9:$F$128,"Ja")))</x:f>
      </x:c>
      <x:c r="H1381" s="88" t="str">
        <x:f>IF(C1381="","",MIN(MAX(0,D1381+E1381-F1381-G1381),MAX(0,IF(MONATSBUDGET!$C$76="",0,MONATSBUDGET!$C$76)-SUM(F1380:F1399)-SUM(H1380:H1380))))</x:f>
      </x:c>
      <x:c r="I1381" s="88" t="str">
        <x:f>IF(C1381="","",MAX(0,ROUND(D1381+E1381-F1381-G1381-H1381,2)))</x:f>
      </x:c>
      <x:c r="J1381" s="88" t="str">
        <x:f>IF(C1381="","",F1381+G1381+H1381)</x:f>
      </x:c>
      <x:c r="K1381" s="88" t="str">
        <x:f>IF(C1381="","",MAX(0,SUMIFS(SONDERZAHLUNGEN!$E$9:$E$128,SONDERZAHLUNGEN!$B$9:$B$128,C1381,SONDERZAHLUNGEN!$C$9:$C$128,A1381,SONDERZAHLUNGEN!$H$9:$H$128,"OK",SONDERZAHLUNGEN!$F$9:$F$128,"Ja")-G1381))</x:f>
      </x:c>
    </x:row>
    <x:row r="1382" ht="19" customHeight="1">
      <x:c r="A1382" s="90" t="n">
        <x:f>MONATSBUDGET!$A$76</x:f>
        <x:v>48305</x:v>
      </x:c>
      <x:c r="B1382" t="n">
        <x:f>3</x:f>
        <x:v>3</x:v>
      </x:c>
      <x:c r="C1382" t="str">
        <x:f>IF($N$11="","",$N$11)</x:f>
      </x:c>
      <x:c r="D1382" s="88" t="str">
        <x:f>IF(C1382="","",I1362)</x:f>
      </x:c>
      <x:c r="E1382" s="88" t="str">
        <x:f>IF(C1382="","",ROUND(D1382*$P$11/12,2))</x:f>
      </x:c>
      <x:c r="F1382" s="88" t="str">
        <x:f>IF(C1382="","",MIN(D1382+E1382,$Q$11))</x:f>
      </x:c>
      <x:c r="G1382" s="88" t="str">
        <x:f>IF(C1382="","",MIN(MAX(0,D1382+E1382-F1382),SUMIFS(SONDERZAHLUNGEN!$E$9:$E$128,SONDERZAHLUNGEN!$B$9:$B$128,C1382,SONDERZAHLUNGEN!$C$9:$C$128,A1382,SONDERZAHLUNGEN!$H$9:$H$128,"OK",SONDERZAHLUNGEN!$F$9:$F$128,"Ja")))</x:f>
      </x:c>
      <x:c r="H1382" s="88" t="str">
        <x:f>IF(C1382="","",MIN(MAX(0,D1382+E1382-F1382-G1382),MAX(0,IF(MONATSBUDGET!$C$76="",0,MONATSBUDGET!$C$76)-SUM(F1380:F1399)-SUM(H1380:H1381))))</x:f>
      </x:c>
      <x:c r="I1382" s="88" t="str">
        <x:f>IF(C1382="","",MAX(0,ROUND(D1382+E1382-F1382-G1382-H1382,2)))</x:f>
      </x:c>
      <x:c r="J1382" s="88" t="str">
        <x:f>IF(C1382="","",F1382+G1382+H1382)</x:f>
      </x:c>
      <x:c r="K1382" s="88" t="str">
        <x:f>IF(C1382="","",MAX(0,SUMIFS(SONDERZAHLUNGEN!$E$9:$E$128,SONDERZAHLUNGEN!$B$9:$B$128,C1382,SONDERZAHLUNGEN!$C$9:$C$128,A1382,SONDERZAHLUNGEN!$H$9:$H$128,"OK",SONDERZAHLUNGEN!$F$9:$F$128,"Ja")-G1382))</x:f>
      </x:c>
    </x:row>
    <x:row r="1383" ht="19" customHeight="1">
      <x:c r="A1383" s="90" t="n">
        <x:f>MONATSBUDGET!$A$76</x:f>
        <x:v>48305</x:v>
      </x:c>
      <x:c r="B1383" t="n">
        <x:f>4</x:f>
        <x:v>4</x:v>
      </x:c>
      <x:c r="C1383" t="str">
        <x:f>IF($N$12="","",$N$12)</x:f>
      </x:c>
      <x:c r="D1383" s="88" t="str">
        <x:f>IF(C1383="","",I1363)</x:f>
      </x:c>
      <x:c r="E1383" s="88" t="str">
        <x:f>IF(C1383="","",ROUND(D1383*$P$12/12,2))</x:f>
      </x:c>
      <x:c r="F1383" s="88" t="str">
        <x:f>IF(C1383="","",MIN(D1383+E1383,$Q$12))</x:f>
      </x:c>
      <x:c r="G1383" s="88" t="str">
        <x:f>IF(C1383="","",MIN(MAX(0,D1383+E1383-F1383),SUMIFS(SONDERZAHLUNGEN!$E$9:$E$128,SONDERZAHLUNGEN!$B$9:$B$128,C1383,SONDERZAHLUNGEN!$C$9:$C$128,A1383,SONDERZAHLUNGEN!$H$9:$H$128,"OK",SONDERZAHLUNGEN!$F$9:$F$128,"Ja")))</x:f>
      </x:c>
      <x:c r="H1383" s="88" t="str">
        <x:f>IF(C1383="","",MIN(MAX(0,D1383+E1383-F1383-G1383),MAX(0,IF(MONATSBUDGET!$C$76="",0,MONATSBUDGET!$C$76)-SUM(F1380:F1399)-SUM(H1380:H1382))))</x:f>
      </x:c>
      <x:c r="I1383" s="88" t="str">
        <x:f>IF(C1383="","",MAX(0,ROUND(D1383+E1383-F1383-G1383-H1383,2)))</x:f>
      </x:c>
      <x:c r="J1383" s="88" t="str">
        <x:f>IF(C1383="","",F1383+G1383+H1383)</x:f>
      </x:c>
      <x:c r="K1383" s="88" t="str">
        <x:f>IF(C1383="","",MAX(0,SUMIFS(SONDERZAHLUNGEN!$E$9:$E$128,SONDERZAHLUNGEN!$B$9:$B$128,C1383,SONDERZAHLUNGEN!$C$9:$C$128,A1383,SONDERZAHLUNGEN!$H$9:$H$128,"OK",SONDERZAHLUNGEN!$F$9:$F$128,"Ja")-G1383))</x:f>
      </x:c>
    </x:row>
    <x:row r="1384" ht="19" customHeight="1">
      <x:c r="A1384" s="90" t="n">
        <x:f>MONATSBUDGET!$A$76</x:f>
        <x:v>48305</x:v>
      </x:c>
      <x:c r="B1384" t="n">
        <x:f>5</x:f>
        <x:v>5</x:v>
      </x:c>
      <x:c r="C1384" t="str">
        <x:f>IF($N$13="","",$N$13)</x:f>
      </x:c>
      <x:c r="D1384" s="88" t="str">
        <x:f>IF(C1384="","",I1364)</x:f>
      </x:c>
      <x:c r="E1384" s="88" t="str">
        <x:f>IF(C1384="","",ROUND(D1384*$P$13/12,2))</x:f>
      </x:c>
      <x:c r="F1384" s="88" t="str">
        <x:f>IF(C1384="","",MIN(D1384+E1384,$Q$13))</x:f>
      </x:c>
      <x:c r="G1384" s="88" t="str">
        <x:f>IF(C1384="","",MIN(MAX(0,D1384+E1384-F1384),SUMIFS(SONDERZAHLUNGEN!$E$9:$E$128,SONDERZAHLUNGEN!$B$9:$B$128,C1384,SONDERZAHLUNGEN!$C$9:$C$128,A1384,SONDERZAHLUNGEN!$H$9:$H$128,"OK",SONDERZAHLUNGEN!$F$9:$F$128,"Ja")))</x:f>
      </x:c>
      <x:c r="H1384" s="88" t="str">
        <x:f>IF(C1384="","",MIN(MAX(0,D1384+E1384-F1384-G1384),MAX(0,IF(MONATSBUDGET!$C$76="",0,MONATSBUDGET!$C$76)-SUM(F1380:F1399)-SUM(H1380:H1383))))</x:f>
      </x:c>
      <x:c r="I1384" s="88" t="str">
        <x:f>IF(C1384="","",MAX(0,ROUND(D1384+E1384-F1384-G1384-H1384,2)))</x:f>
      </x:c>
      <x:c r="J1384" s="88" t="str">
        <x:f>IF(C1384="","",F1384+G1384+H1384)</x:f>
      </x:c>
      <x:c r="K1384" s="88" t="str">
        <x:f>IF(C1384="","",MAX(0,SUMIFS(SONDERZAHLUNGEN!$E$9:$E$128,SONDERZAHLUNGEN!$B$9:$B$128,C1384,SONDERZAHLUNGEN!$C$9:$C$128,A1384,SONDERZAHLUNGEN!$H$9:$H$128,"OK",SONDERZAHLUNGEN!$F$9:$F$128,"Ja")-G1384))</x:f>
      </x:c>
    </x:row>
    <x:row r="1385" ht="19" customHeight="1">
      <x:c r="A1385" s="90" t="n">
        <x:f>MONATSBUDGET!$A$76</x:f>
        <x:v>48305</x:v>
      </x:c>
      <x:c r="B1385" t="n">
        <x:f>6</x:f>
        <x:v>6</x:v>
      </x:c>
      <x:c r="C1385" t="str">
        <x:f>IF($N$14="","",$N$14)</x:f>
      </x:c>
      <x:c r="D1385" s="88" t="str">
        <x:f>IF(C1385="","",I1365)</x:f>
      </x:c>
      <x:c r="E1385" s="88" t="str">
        <x:f>IF(C1385="","",ROUND(D1385*$P$14/12,2))</x:f>
      </x:c>
      <x:c r="F1385" s="88" t="str">
        <x:f>IF(C1385="","",MIN(D1385+E1385,$Q$14))</x:f>
      </x:c>
      <x:c r="G1385" s="88" t="str">
        <x:f>IF(C1385="","",MIN(MAX(0,D1385+E1385-F1385),SUMIFS(SONDERZAHLUNGEN!$E$9:$E$128,SONDERZAHLUNGEN!$B$9:$B$128,C1385,SONDERZAHLUNGEN!$C$9:$C$128,A1385,SONDERZAHLUNGEN!$H$9:$H$128,"OK",SONDERZAHLUNGEN!$F$9:$F$128,"Ja")))</x:f>
      </x:c>
      <x:c r="H1385" s="88" t="str">
        <x:f>IF(C1385="","",MIN(MAX(0,D1385+E1385-F1385-G1385),MAX(0,IF(MONATSBUDGET!$C$76="",0,MONATSBUDGET!$C$76)-SUM(F1380:F1399)-SUM(H1380:H1384))))</x:f>
      </x:c>
      <x:c r="I1385" s="88" t="str">
        <x:f>IF(C1385="","",MAX(0,ROUND(D1385+E1385-F1385-G1385-H1385,2)))</x:f>
      </x:c>
      <x:c r="J1385" s="88" t="str">
        <x:f>IF(C1385="","",F1385+G1385+H1385)</x:f>
      </x:c>
      <x:c r="K1385" s="88" t="str">
        <x:f>IF(C1385="","",MAX(0,SUMIFS(SONDERZAHLUNGEN!$E$9:$E$128,SONDERZAHLUNGEN!$B$9:$B$128,C1385,SONDERZAHLUNGEN!$C$9:$C$128,A1385,SONDERZAHLUNGEN!$H$9:$H$128,"OK",SONDERZAHLUNGEN!$F$9:$F$128,"Ja")-G1385))</x:f>
      </x:c>
    </x:row>
    <x:row r="1386" ht="19" customHeight="1">
      <x:c r="A1386" s="90" t="n">
        <x:f>MONATSBUDGET!$A$76</x:f>
        <x:v>48305</x:v>
      </x:c>
      <x:c r="B1386" t="n">
        <x:f>7</x:f>
        <x:v>7</x:v>
      </x:c>
      <x:c r="C1386" t="str">
        <x:f>IF($N$15="","",$N$15)</x:f>
      </x:c>
      <x:c r="D1386" s="88" t="str">
        <x:f>IF(C1386="","",I1366)</x:f>
      </x:c>
      <x:c r="E1386" s="88" t="str">
        <x:f>IF(C1386="","",ROUND(D1386*$P$15/12,2))</x:f>
      </x:c>
      <x:c r="F1386" s="88" t="str">
        <x:f>IF(C1386="","",MIN(D1386+E1386,$Q$15))</x:f>
      </x:c>
      <x:c r="G1386" s="88" t="str">
        <x:f>IF(C1386="","",MIN(MAX(0,D1386+E1386-F1386),SUMIFS(SONDERZAHLUNGEN!$E$9:$E$128,SONDERZAHLUNGEN!$B$9:$B$128,C1386,SONDERZAHLUNGEN!$C$9:$C$128,A1386,SONDERZAHLUNGEN!$H$9:$H$128,"OK",SONDERZAHLUNGEN!$F$9:$F$128,"Ja")))</x:f>
      </x:c>
      <x:c r="H1386" s="88" t="str">
        <x:f>IF(C1386="","",MIN(MAX(0,D1386+E1386-F1386-G1386),MAX(0,IF(MONATSBUDGET!$C$76="",0,MONATSBUDGET!$C$76)-SUM(F1380:F1399)-SUM(H1380:H1385))))</x:f>
      </x:c>
      <x:c r="I1386" s="88" t="str">
        <x:f>IF(C1386="","",MAX(0,ROUND(D1386+E1386-F1386-G1386-H1386,2)))</x:f>
      </x:c>
      <x:c r="J1386" s="88" t="str">
        <x:f>IF(C1386="","",F1386+G1386+H1386)</x:f>
      </x:c>
      <x:c r="K1386" s="88" t="str">
        <x:f>IF(C1386="","",MAX(0,SUMIFS(SONDERZAHLUNGEN!$E$9:$E$128,SONDERZAHLUNGEN!$B$9:$B$128,C1386,SONDERZAHLUNGEN!$C$9:$C$128,A1386,SONDERZAHLUNGEN!$H$9:$H$128,"OK",SONDERZAHLUNGEN!$F$9:$F$128,"Ja")-G1386))</x:f>
      </x:c>
    </x:row>
    <x:row r="1387" ht="19" customHeight="1">
      <x:c r="A1387" s="90" t="n">
        <x:f>MONATSBUDGET!$A$76</x:f>
        <x:v>48305</x:v>
      </x:c>
      <x:c r="B1387" t="n">
        <x:f>8</x:f>
        <x:v>8</x:v>
      </x:c>
      <x:c r="C1387" t="str">
        <x:f>IF($N$16="","",$N$16)</x:f>
      </x:c>
      <x:c r="D1387" s="88" t="str">
        <x:f>IF(C1387="","",I1367)</x:f>
      </x:c>
      <x:c r="E1387" s="88" t="str">
        <x:f>IF(C1387="","",ROUND(D1387*$P$16/12,2))</x:f>
      </x:c>
      <x:c r="F1387" s="88" t="str">
        <x:f>IF(C1387="","",MIN(D1387+E1387,$Q$16))</x:f>
      </x:c>
      <x:c r="G1387" s="88" t="str">
        <x:f>IF(C1387="","",MIN(MAX(0,D1387+E1387-F1387),SUMIFS(SONDERZAHLUNGEN!$E$9:$E$128,SONDERZAHLUNGEN!$B$9:$B$128,C1387,SONDERZAHLUNGEN!$C$9:$C$128,A1387,SONDERZAHLUNGEN!$H$9:$H$128,"OK",SONDERZAHLUNGEN!$F$9:$F$128,"Ja")))</x:f>
      </x:c>
      <x:c r="H1387" s="88" t="str">
        <x:f>IF(C1387="","",MIN(MAX(0,D1387+E1387-F1387-G1387),MAX(0,IF(MONATSBUDGET!$C$76="",0,MONATSBUDGET!$C$76)-SUM(F1380:F1399)-SUM(H1380:H1386))))</x:f>
      </x:c>
      <x:c r="I1387" s="88" t="str">
        <x:f>IF(C1387="","",MAX(0,ROUND(D1387+E1387-F1387-G1387-H1387,2)))</x:f>
      </x:c>
      <x:c r="J1387" s="88" t="str">
        <x:f>IF(C1387="","",F1387+G1387+H1387)</x:f>
      </x:c>
      <x:c r="K1387" s="88" t="str">
        <x:f>IF(C1387="","",MAX(0,SUMIFS(SONDERZAHLUNGEN!$E$9:$E$128,SONDERZAHLUNGEN!$B$9:$B$128,C1387,SONDERZAHLUNGEN!$C$9:$C$128,A1387,SONDERZAHLUNGEN!$H$9:$H$128,"OK",SONDERZAHLUNGEN!$F$9:$F$128,"Ja")-G1387))</x:f>
      </x:c>
    </x:row>
    <x:row r="1388" ht="19" customHeight="1">
      <x:c r="A1388" s="90" t="n">
        <x:f>MONATSBUDGET!$A$76</x:f>
        <x:v>48305</x:v>
      </x:c>
      <x:c r="B1388" t="n">
        <x:f>9</x:f>
        <x:v>9</x:v>
      </x:c>
      <x:c r="C1388" t="str">
        <x:f>IF($N$17="","",$N$17)</x:f>
      </x:c>
      <x:c r="D1388" s="88" t="str">
        <x:f>IF(C1388="","",I1368)</x:f>
      </x:c>
      <x:c r="E1388" s="88" t="str">
        <x:f>IF(C1388="","",ROUND(D1388*$P$17/12,2))</x:f>
      </x:c>
      <x:c r="F1388" s="88" t="str">
        <x:f>IF(C1388="","",MIN(D1388+E1388,$Q$17))</x:f>
      </x:c>
      <x:c r="G1388" s="88" t="str">
        <x:f>IF(C1388="","",MIN(MAX(0,D1388+E1388-F1388),SUMIFS(SONDERZAHLUNGEN!$E$9:$E$128,SONDERZAHLUNGEN!$B$9:$B$128,C1388,SONDERZAHLUNGEN!$C$9:$C$128,A1388,SONDERZAHLUNGEN!$H$9:$H$128,"OK",SONDERZAHLUNGEN!$F$9:$F$128,"Ja")))</x:f>
      </x:c>
      <x:c r="H1388" s="88" t="str">
        <x:f>IF(C1388="","",MIN(MAX(0,D1388+E1388-F1388-G1388),MAX(0,IF(MONATSBUDGET!$C$76="",0,MONATSBUDGET!$C$76)-SUM(F1380:F1399)-SUM(H1380:H1387))))</x:f>
      </x:c>
      <x:c r="I1388" s="88" t="str">
        <x:f>IF(C1388="","",MAX(0,ROUND(D1388+E1388-F1388-G1388-H1388,2)))</x:f>
      </x:c>
      <x:c r="J1388" s="88" t="str">
        <x:f>IF(C1388="","",F1388+G1388+H1388)</x:f>
      </x:c>
      <x:c r="K1388" s="88" t="str">
        <x:f>IF(C1388="","",MAX(0,SUMIFS(SONDERZAHLUNGEN!$E$9:$E$128,SONDERZAHLUNGEN!$B$9:$B$128,C1388,SONDERZAHLUNGEN!$C$9:$C$128,A1388,SONDERZAHLUNGEN!$H$9:$H$128,"OK",SONDERZAHLUNGEN!$F$9:$F$128,"Ja")-G1388))</x:f>
      </x:c>
    </x:row>
    <x:row r="1389" ht="19" customHeight="1">
      <x:c r="A1389" s="90" t="n">
        <x:f>MONATSBUDGET!$A$76</x:f>
        <x:v>48305</x:v>
      </x:c>
      <x:c r="B1389" t="n">
        <x:f>10</x:f>
        <x:v>10</x:v>
      </x:c>
      <x:c r="C1389" t="str">
        <x:f>IF($N$18="","",$N$18)</x:f>
      </x:c>
      <x:c r="D1389" s="88" t="str">
        <x:f>IF(C1389="","",I1369)</x:f>
      </x:c>
      <x:c r="E1389" s="88" t="str">
        <x:f>IF(C1389="","",ROUND(D1389*$P$18/12,2))</x:f>
      </x:c>
      <x:c r="F1389" s="88" t="str">
        <x:f>IF(C1389="","",MIN(D1389+E1389,$Q$18))</x:f>
      </x:c>
      <x:c r="G1389" s="88" t="str">
        <x:f>IF(C1389="","",MIN(MAX(0,D1389+E1389-F1389),SUMIFS(SONDERZAHLUNGEN!$E$9:$E$128,SONDERZAHLUNGEN!$B$9:$B$128,C1389,SONDERZAHLUNGEN!$C$9:$C$128,A1389,SONDERZAHLUNGEN!$H$9:$H$128,"OK",SONDERZAHLUNGEN!$F$9:$F$128,"Ja")))</x:f>
      </x:c>
      <x:c r="H1389" s="88" t="str">
        <x:f>IF(C1389="","",MIN(MAX(0,D1389+E1389-F1389-G1389),MAX(0,IF(MONATSBUDGET!$C$76="",0,MONATSBUDGET!$C$76)-SUM(F1380:F1399)-SUM(H1380:H1388))))</x:f>
      </x:c>
      <x:c r="I1389" s="88" t="str">
        <x:f>IF(C1389="","",MAX(0,ROUND(D1389+E1389-F1389-G1389-H1389,2)))</x:f>
      </x:c>
      <x:c r="J1389" s="88" t="str">
        <x:f>IF(C1389="","",F1389+G1389+H1389)</x:f>
      </x:c>
      <x:c r="K1389" s="88" t="str">
        <x:f>IF(C1389="","",MAX(0,SUMIFS(SONDERZAHLUNGEN!$E$9:$E$128,SONDERZAHLUNGEN!$B$9:$B$128,C1389,SONDERZAHLUNGEN!$C$9:$C$128,A1389,SONDERZAHLUNGEN!$H$9:$H$128,"OK",SONDERZAHLUNGEN!$F$9:$F$128,"Ja")-G1389))</x:f>
      </x:c>
    </x:row>
    <x:row r="1390" ht="19" customHeight="1">
      <x:c r="A1390" s="90" t="n">
        <x:f>MONATSBUDGET!$A$76</x:f>
        <x:v>48305</x:v>
      </x:c>
      <x:c r="B1390" t="n">
        <x:f>11</x:f>
        <x:v>11</x:v>
      </x:c>
      <x:c r="C1390" t="str">
        <x:f>IF($N$19="","",$N$19)</x:f>
      </x:c>
      <x:c r="D1390" s="88" t="str">
        <x:f>IF(C1390="","",I1370)</x:f>
      </x:c>
      <x:c r="E1390" s="88" t="str">
        <x:f>IF(C1390="","",ROUND(D1390*$P$19/12,2))</x:f>
      </x:c>
      <x:c r="F1390" s="88" t="str">
        <x:f>IF(C1390="","",MIN(D1390+E1390,$Q$19))</x:f>
      </x:c>
      <x:c r="G1390" s="88" t="str">
        <x:f>IF(C1390="","",MIN(MAX(0,D1390+E1390-F1390),SUMIFS(SONDERZAHLUNGEN!$E$9:$E$128,SONDERZAHLUNGEN!$B$9:$B$128,C1390,SONDERZAHLUNGEN!$C$9:$C$128,A1390,SONDERZAHLUNGEN!$H$9:$H$128,"OK",SONDERZAHLUNGEN!$F$9:$F$128,"Ja")))</x:f>
      </x:c>
      <x:c r="H1390" s="88" t="str">
        <x:f>IF(C1390="","",MIN(MAX(0,D1390+E1390-F1390-G1390),MAX(0,IF(MONATSBUDGET!$C$76="",0,MONATSBUDGET!$C$76)-SUM(F1380:F1399)-SUM(H1380:H1389))))</x:f>
      </x:c>
      <x:c r="I1390" s="88" t="str">
        <x:f>IF(C1390="","",MAX(0,ROUND(D1390+E1390-F1390-G1390-H1390,2)))</x:f>
      </x:c>
      <x:c r="J1390" s="88" t="str">
        <x:f>IF(C1390="","",F1390+G1390+H1390)</x:f>
      </x:c>
      <x:c r="K1390" s="88" t="str">
        <x:f>IF(C1390="","",MAX(0,SUMIFS(SONDERZAHLUNGEN!$E$9:$E$128,SONDERZAHLUNGEN!$B$9:$B$128,C1390,SONDERZAHLUNGEN!$C$9:$C$128,A1390,SONDERZAHLUNGEN!$H$9:$H$128,"OK",SONDERZAHLUNGEN!$F$9:$F$128,"Ja")-G1390))</x:f>
      </x:c>
    </x:row>
    <x:row r="1391" ht="19" customHeight="1">
      <x:c r="A1391" s="90" t="n">
        <x:f>MONATSBUDGET!$A$76</x:f>
        <x:v>48305</x:v>
      </x:c>
      <x:c r="B1391" t="n">
        <x:f>12</x:f>
        <x:v>12</x:v>
      </x:c>
      <x:c r="C1391" t="str">
        <x:f>IF($N$20="","",$N$20)</x:f>
      </x:c>
      <x:c r="D1391" s="88" t="str">
        <x:f>IF(C1391="","",I1371)</x:f>
      </x:c>
      <x:c r="E1391" s="88" t="str">
        <x:f>IF(C1391="","",ROUND(D1391*$P$20/12,2))</x:f>
      </x:c>
      <x:c r="F1391" s="88" t="str">
        <x:f>IF(C1391="","",MIN(D1391+E1391,$Q$20))</x:f>
      </x:c>
      <x:c r="G1391" s="88" t="str">
        <x:f>IF(C1391="","",MIN(MAX(0,D1391+E1391-F1391),SUMIFS(SONDERZAHLUNGEN!$E$9:$E$128,SONDERZAHLUNGEN!$B$9:$B$128,C1391,SONDERZAHLUNGEN!$C$9:$C$128,A1391,SONDERZAHLUNGEN!$H$9:$H$128,"OK",SONDERZAHLUNGEN!$F$9:$F$128,"Ja")))</x:f>
      </x:c>
      <x:c r="H1391" s="88" t="str">
        <x:f>IF(C1391="","",MIN(MAX(0,D1391+E1391-F1391-G1391),MAX(0,IF(MONATSBUDGET!$C$76="",0,MONATSBUDGET!$C$76)-SUM(F1380:F1399)-SUM(H1380:H1390))))</x:f>
      </x:c>
      <x:c r="I1391" s="88" t="str">
        <x:f>IF(C1391="","",MAX(0,ROUND(D1391+E1391-F1391-G1391-H1391,2)))</x:f>
      </x:c>
      <x:c r="J1391" s="88" t="str">
        <x:f>IF(C1391="","",F1391+G1391+H1391)</x:f>
      </x:c>
      <x:c r="K1391" s="88" t="str">
        <x:f>IF(C1391="","",MAX(0,SUMIFS(SONDERZAHLUNGEN!$E$9:$E$128,SONDERZAHLUNGEN!$B$9:$B$128,C1391,SONDERZAHLUNGEN!$C$9:$C$128,A1391,SONDERZAHLUNGEN!$H$9:$H$128,"OK",SONDERZAHLUNGEN!$F$9:$F$128,"Ja")-G1391))</x:f>
      </x:c>
    </x:row>
    <x:row r="1392" ht="19" customHeight="1">
      <x:c r="A1392" s="90" t="n">
        <x:f>MONATSBUDGET!$A$76</x:f>
        <x:v>48305</x:v>
      </x:c>
      <x:c r="B1392" t="n">
        <x:f>13</x:f>
        <x:v>13</x:v>
      </x:c>
      <x:c r="C1392" t="str">
        <x:f>IF($N$21="","",$N$21)</x:f>
      </x:c>
      <x:c r="D1392" s="88" t="str">
        <x:f>IF(C1392="","",I1372)</x:f>
      </x:c>
      <x:c r="E1392" s="88" t="str">
        <x:f>IF(C1392="","",ROUND(D1392*$P$21/12,2))</x:f>
      </x:c>
      <x:c r="F1392" s="88" t="str">
        <x:f>IF(C1392="","",MIN(D1392+E1392,$Q$21))</x:f>
      </x:c>
      <x:c r="G1392" s="88" t="str">
        <x:f>IF(C1392="","",MIN(MAX(0,D1392+E1392-F1392),SUMIFS(SONDERZAHLUNGEN!$E$9:$E$128,SONDERZAHLUNGEN!$B$9:$B$128,C1392,SONDERZAHLUNGEN!$C$9:$C$128,A1392,SONDERZAHLUNGEN!$H$9:$H$128,"OK",SONDERZAHLUNGEN!$F$9:$F$128,"Ja")))</x:f>
      </x:c>
      <x:c r="H1392" s="88" t="str">
        <x:f>IF(C1392="","",MIN(MAX(0,D1392+E1392-F1392-G1392),MAX(0,IF(MONATSBUDGET!$C$76="",0,MONATSBUDGET!$C$76)-SUM(F1380:F1399)-SUM(H1380:H1391))))</x:f>
      </x:c>
      <x:c r="I1392" s="88" t="str">
        <x:f>IF(C1392="","",MAX(0,ROUND(D1392+E1392-F1392-G1392-H1392,2)))</x:f>
      </x:c>
      <x:c r="J1392" s="88" t="str">
        <x:f>IF(C1392="","",F1392+G1392+H1392)</x:f>
      </x:c>
      <x:c r="K1392" s="88" t="str">
        <x:f>IF(C1392="","",MAX(0,SUMIFS(SONDERZAHLUNGEN!$E$9:$E$128,SONDERZAHLUNGEN!$B$9:$B$128,C1392,SONDERZAHLUNGEN!$C$9:$C$128,A1392,SONDERZAHLUNGEN!$H$9:$H$128,"OK",SONDERZAHLUNGEN!$F$9:$F$128,"Ja")-G1392))</x:f>
      </x:c>
    </x:row>
    <x:row r="1393" ht="19" customHeight="1">
      <x:c r="A1393" s="90" t="n">
        <x:f>MONATSBUDGET!$A$76</x:f>
        <x:v>48305</x:v>
      </x:c>
      <x:c r="B1393" t="n">
        <x:f>14</x:f>
        <x:v>14</x:v>
      </x:c>
      <x:c r="C1393" t="str">
        <x:f>IF($N$22="","",$N$22)</x:f>
      </x:c>
      <x:c r="D1393" s="88" t="str">
        <x:f>IF(C1393="","",I1373)</x:f>
      </x:c>
      <x:c r="E1393" s="88" t="str">
        <x:f>IF(C1393="","",ROUND(D1393*$P$22/12,2))</x:f>
      </x:c>
      <x:c r="F1393" s="88" t="str">
        <x:f>IF(C1393="","",MIN(D1393+E1393,$Q$22))</x:f>
      </x:c>
      <x:c r="G1393" s="88" t="str">
        <x:f>IF(C1393="","",MIN(MAX(0,D1393+E1393-F1393),SUMIFS(SONDERZAHLUNGEN!$E$9:$E$128,SONDERZAHLUNGEN!$B$9:$B$128,C1393,SONDERZAHLUNGEN!$C$9:$C$128,A1393,SONDERZAHLUNGEN!$H$9:$H$128,"OK",SONDERZAHLUNGEN!$F$9:$F$128,"Ja")))</x:f>
      </x:c>
      <x:c r="H1393" s="88" t="str">
        <x:f>IF(C1393="","",MIN(MAX(0,D1393+E1393-F1393-G1393),MAX(0,IF(MONATSBUDGET!$C$76="",0,MONATSBUDGET!$C$76)-SUM(F1380:F1399)-SUM(H1380:H1392))))</x:f>
      </x:c>
      <x:c r="I1393" s="88" t="str">
        <x:f>IF(C1393="","",MAX(0,ROUND(D1393+E1393-F1393-G1393-H1393,2)))</x:f>
      </x:c>
      <x:c r="J1393" s="88" t="str">
        <x:f>IF(C1393="","",F1393+G1393+H1393)</x:f>
      </x:c>
      <x:c r="K1393" s="88" t="str">
        <x:f>IF(C1393="","",MAX(0,SUMIFS(SONDERZAHLUNGEN!$E$9:$E$128,SONDERZAHLUNGEN!$B$9:$B$128,C1393,SONDERZAHLUNGEN!$C$9:$C$128,A1393,SONDERZAHLUNGEN!$H$9:$H$128,"OK",SONDERZAHLUNGEN!$F$9:$F$128,"Ja")-G1393))</x:f>
      </x:c>
    </x:row>
    <x:row r="1394" ht="19" customHeight="1">
      <x:c r="A1394" s="90" t="n">
        <x:f>MONATSBUDGET!$A$76</x:f>
        <x:v>48305</x:v>
      </x:c>
      <x:c r="B1394" t="n">
        <x:f>15</x:f>
        <x:v>15</x:v>
      </x:c>
      <x:c r="C1394" t="str">
        <x:f>IF($N$23="","",$N$23)</x:f>
      </x:c>
      <x:c r="D1394" s="88" t="str">
        <x:f>IF(C1394="","",I1374)</x:f>
      </x:c>
      <x:c r="E1394" s="88" t="str">
        <x:f>IF(C1394="","",ROUND(D1394*$P$23/12,2))</x:f>
      </x:c>
      <x:c r="F1394" s="88" t="str">
        <x:f>IF(C1394="","",MIN(D1394+E1394,$Q$23))</x:f>
      </x:c>
      <x:c r="G1394" s="88" t="str">
        <x:f>IF(C1394="","",MIN(MAX(0,D1394+E1394-F1394),SUMIFS(SONDERZAHLUNGEN!$E$9:$E$128,SONDERZAHLUNGEN!$B$9:$B$128,C1394,SONDERZAHLUNGEN!$C$9:$C$128,A1394,SONDERZAHLUNGEN!$H$9:$H$128,"OK",SONDERZAHLUNGEN!$F$9:$F$128,"Ja")))</x:f>
      </x:c>
      <x:c r="H1394" s="88" t="str">
        <x:f>IF(C1394="","",MIN(MAX(0,D1394+E1394-F1394-G1394),MAX(0,IF(MONATSBUDGET!$C$76="",0,MONATSBUDGET!$C$76)-SUM(F1380:F1399)-SUM(H1380:H1393))))</x:f>
      </x:c>
      <x:c r="I1394" s="88" t="str">
        <x:f>IF(C1394="","",MAX(0,ROUND(D1394+E1394-F1394-G1394-H1394,2)))</x:f>
      </x:c>
      <x:c r="J1394" s="88" t="str">
        <x:f>IF(C1394="","",F1394+G1394+H1394)</x:f>
      </x:c>
      <x:c r="K1394" s="88" t="str">
        <x:f>IF(C1394="","",MAX(0,SUMIFS(SONDERZAHLUNGEN!$E$9:$E$128,SONDERZAHLUNGEN!$B$9:$B$128,C1394,SONDERZAHLUNGEN!$C$9:$C$128,A1394,SONDERZAHLUNGEN!$H$9:$H$128,"OK",SONDERZAHLUNGEN!$F$9:$F$128,"Ja")-G1394))</x:f>
      </x:c>
    </x:row>
    <x:row r="1395" ht="19" customHeight="1">
      <x:c r="A1395" s="90" t="n">
        <x:f>MONATSBUDGET!$A$76</x:f>
        <x:v>48305</x:v>
      </x:c>
      <x:c r="B1395" t="n">
        <x:f>16</x:f>
        <x:v>16</x:v>
      </x:c>
      <x:c r="C1395" t="str">
        <x:f>IF($N$24="","",$N$24)</x:f>
      </x:c>
      <x:c r="D1395" s="88" t="str">
        <x:f>IF(C1395="","",I1375)</x:f>
      </x:c>
      <x:c r="E1395" s="88" t="str">
        <x:f>IF(C1395="","",ROUND(D1395*$P$24/12,2))</x:f>
      </x:c>
      <x:c r="F1395" s="88" t="str">
        <x:f>IF(C1395="","",MIN(D1395+E1395,$Q$24))</x:f>
      </x:c>
      <x:c r="G1395" s="88" t="str">
        <x:f>IF(C1395="","",MIN(MAX(0,D1395+E1395-F1395),SUMIFS(SONDERZAHLUNGEN!$E$9:$E$128,SONDERZAHLUNGEN!$B$9:$B$128,C1395,SONDERZAHLUNGEN!$C$9:$C$128,A1395,SONDERZAHLUNGEN!$H$9:$H$128,"OK",SONDERZAHLUNGEN!$F$9:$F$128,"Ja")))</x:f>
      </x:c>
      <x:c r="H1395" s="88" t="str">
        <x:f>IF(C1395="","",MIN(MAX(0,D1395+E1395-F1395-G1395),MAX(0,IF(MONATSBUDGET!$C$76="",0,MONATSBUDGET!$C$76)-SUM(F1380:F1399)-SUM(H1380:H1394))))</x:f>
      </x:c>
      <x:c r="I1395" s="88" t="str">
        <x:f>IF(C1395="","",MAX(0,ROUND(D1395+E1395-F1395-G1395-H1395,2)))</x:f>
      </x:c>
      <x:c r="J1395" s="88" t="str">
        <x:f>IF(C1395="","",F1395+G1395+H1395)</x:f>
      </x:c>
      <x:c r="K1395" s="88" t="str">
        <x:f>IF(C1395="","",MAX(0,SUMIFS(SONDERZAHLUNGEN!$E$9:$E$128,SONDERZAHLUNGEN!$B$9:$B$128,C1395,SONDERZAHLUNGEN!$C$9:$C$128,A1395,SONDERZAHLUNGEN!$H$9:$H$128,"OK",SONDERZAHLUNGEN!$F$9:$F$128,"Ja")-G1395))</x:f>
      </x:c>
    </x:row>
    <x:row r="1396" ht="19" customHeight="1">
      <x:c r="A1396" s="90" t="n">
        <x:f>MONATSBUDGET!$A$76</x:f>
        <x:v>48305</x:v>
      </x:c>
      <x:c r="B1396" t="n">
        <x:f>17</x:f>
        <x:v>17</x:v>
      </x:c>
      <x:c r="C1396" t="str">
        <x:f>IF($N$25="","",$N$25)</x:f>
      </x:c>
      <x:c r="D1396" s="88" t="str">
        <x:f>IF(C1396="","",I1376)</x:f>
      </x:c>
      <x:c r="E1396" s="88" t="str">
        <x:f>IF(C1396="","",ROUND(D1396*$P$25/12,2))</x:f>
      </x:c>
      <x:c r="F1396" s="88" t="str">
        <x:f>IF(C1396="","",MIN(D1396+E1396,$Q$25))</x:f>
      </x:c>
      <x:c r="G1396" s="88" t="str">
        <x:f>IF(C1396="","",MIN(MAX(0,D1396+E1396-F1396),SUMIFS(SONDERZAHLUNGEN!$E$9:$E$128,SONDERZAHLUNGEN!$B$9:$B$128,C1396,SONDERZAHLUNGEN!$C$9:$C$128,A1396,SONDERZAHLUNGEN!$H$9:$H$128,"OK",SONDERZAHLUNGEN!$F$9:$F$128,"Ja")))</x:f>
      </x:c>
      <x:c r="H1396" s="88" t="str">
        <x:f>IF(C1396="","",MIN(MAX(0,D1396+E1396-F1396-G1396),MAX(0,IF(MONATSBUDGET!$C$76="",0,MONATSBUDGET!$C$76)-SUM(F1380:F1399)-SUM(H1380:H1395))))</x:f>
      </x:c>
      <x:c r="I1396" s="88" t="str">
        <x:f>IF(C1396="","",MAX(0,ROUND(D1396+E1396-F1396-G1396-H1396,2)))</x:f>
      </x:c>
      <x:c r="J1396" s="88" t="str">
        <x:f>IF(C1396="","",F1396+G1396+H1396)</x:f>
      </x:c>
      <x:c r="K1396" s="88" t="str">
        <x:f>IF(C1396="","",MAX(0,SUMIFS(SONDERZAHLUNGEN!$E$9:$E$128,SONDERZAHLUNGEN!$B$9:$B$128,C1396,SONDERZAHLUNGEN!$C$9:$C$128,A1396,SONDERZAHLUNGEN!$H$9:$H$128,"OK",SONDERZAHLUNGEN!$F$9:$F$128,"Ja")-G1396))</x:f>
      </x:c>
    </x:row>
    <x:row r="1397" ht="19" customHeight="1">
      <x:c r="A1397" s="90" t="n">
        <x:f>MONATSBUDGET!$A$76</x:f>
        <x:v>48305</x:v>
      </x:c>
      <x:c r="B1397" t="n">
        <x:f>18</x:f>
        <x:v>18</x:v>
      </x:c>
      <x:c r="C1397" t="str">
        <x:f>IF($N$26="","",$N$26)</x:f>
      </x:c>
      <x:c r="D1397" s="88" t="str">
        <x:f>IF(C1397="","",I1377)</x:f>
      </x:c>
      <x:c r="E1397" s="88" t="str">
        <x:f>IF(C1397="","",ROUND(D1397*$P$26/12,2))</x:f>
      </x:c>
      <x:c r="F1397" s="88" t="str">
        <x:f>IF(C1397="","",MIN(D1397+E1397,$Q$26))</x:f>
      </x:c>
      <x:c r="G1397" s="88" t="str">
        <x:f>IF(C1397="","",MIN(MAX(0,D1397+E1397-F1397),SUMIFS(SONDERZAHLUNGEN!$E$9:$E$128,SONDERZAHLUNGEN!$B$9:$B$128,C1397,SONDERZAHLUNGEN!$C$9:$C$128,A1397,SONDERZAHLUNGEN!$H$9:$H$128,"OK",SONDERZAHLUNGEN!$F$9:$F$128,"Ja")))</x:f>
      </x:c>
      <x:c r="H1397" s="88" t="str">
        <x:f>IF(C1397="","",MIN(MAX(0,D1397+E1397-F1397-G1397),MAX(0,IF(MONATSBUDGET!$C$76="",0,MONATSBUDGET!$C$76)-SUM(F1380:F1399)-SUM(H1380:H1396))))</x:f>
      </x:c>
      <x:c r="I1397" s="88" t="str">
        <x:f>IF(C1397="","",MAX(0,ROUND(D1397+E1397-F1397-G1397-H1397,2)))</x:f>
      </x:c>
      <x:c r="J1397" s="88" t="str">
        <x:f>IF(C1397="","",F1397+G1397+H1397)</x:f>
      </x:c>
      <x:c r="K1397" s="88" t="str">
        <x:f>IF(C1397="","",MAX(0,SUMIFS(SONDERZAHLUNGEN!$E$9:$E$128,SONDERZAHLUNGEN!$B$9:$B$128,C1397,SONDERZAHLUNGEN!$C$9:$C$128,A1397,SONDERZAHLUNGEN!$H$9:$H$128,"OK",SONDERZAHLUNGEN!$F$9:$F$128,"Ja")-G1397))</x:f>
      </x:c>
    </x:row>
    <x:row r="1398" ht="19" customHeight="1">
      <x:c r="A1398" s="90" t="n">
        <x:f>MONATSBUDGET!$A$76</x:f>
        <x:v>48305</x:v>
      </x:c>
      <x:c r="B1398" t="n">
        <x:f>19</x:f>
        <x:v>19</x:v>
      </x:c>
      <x:c r="C1398" t="str">
        <x:f>IF($N$27="","",$N$27)</x:f>
      </x:c>
      <x:c r="D1398" s="88" t="str">
        <x:f>IF(C1398="","",I1378)</x:f>
      </x:c>
      <x:c r="E1398" s="88" t="str">
        <x:f>IF(C1398="","",ROUND(D1398*$P$27/12,2))</x:f>
      </x:c>
      <x:c r="F1398" s="88" t="str">
        <x:f>IF(C1398="","",MIN(D1398+E1398,$Q$27))</x:f>
      </x:c>
      <x:c r="G1398" s="88" t="str">
        <x:f>IF(C1398="","",MIN(MAX(0,D1398+E1398-F1398),SUMIFS(SONDERZAHLUNGEN!$E$9:$E$128,SONDERZAHLUNGEN!$B$9:$B$128,C1398,SONDERZAHLUNGEN!$C$9:$C$128,A1398,SONDERZAHLUNGEN!$H$9:$H$128,"OK",SONDERZAHLUNGEN!$F$9:$F$128,"Ja")))</x:f>
      </x:c>
      <x:c r="H1398" s="88" t="str">
        <x:f>IF(C1398="","",MIN(MAX(0,D1398+E1398-F1398-G1398),MAX(0,IF(MONATSBUDGET!$C$76="",0,MONATSBUDGET!$C$76)-SUM(F1380:F1399)-SUM(H1380:H1397))))</x:f>
      </x:c>
      <x:c r="I1398" s="88" t="str">
        <x:f>IF(C1398="","",MAX(0,ROUND(D1398+E1398-F1398-G1398-H1398,2)))</x:f>
      </x:c>
      <x:c r="J1398" s="88" t="str">
        <x:f>IF(C1398="","",F1398+G1398+H1398)</x:f>
      </x:c>
      <x:c r="K1398" s="88" t="str">
        <x:f>IF(C1398="","",MAX(0,SUMIFS(SONDERZAHLUNGEN!$E$9:$E$128,SONDERZAHLUNGEN!$B$9:$B$128,C1398,SONDERZAHLUNGEN!$C$9:$C$128,A1398,SONDERZAHLUNGEN!$H$9:$H$128,"OK",SONDERZAHLUNGEN!$F$9:$F$128,"Ja")-G1398))</x:f>
      </x:c>
    </x:row>
    <x:row r="1399" ht="19" customHeight="1">
      <x:c r="A1399" s="90" t="n">
        <x:f>MONATSBUDGET!$A$76</x:f>
        <x:v>48305</x:v>
      </x:c>
      <x:c r="B1399" t="n">
        <x:f>20</x:f>
        <x:v>20</x:v>
      </x:c>
      <x:c r="C1399" t="str">
        <x:f>IF($N$28="","",$N$28)</x:f>
      </x:c>
      <x:c r="D1399" s="88" t="str">
        <x:f>IF(C1399="","",I1379)</x:f>
      </x:c>
      <x:c r="E1399" s="88" t="str">
        <x:f>IF(C1399="","",ROUND(D1399*$P$28/12,2))</x:f>
      </x:c>
      <x:c r="F1399" s="88" t="str">
        <x:f>IF(C1399="","",MIN(D1399+E1399,$Q$28))</x:f>
      </x:c>
      <x:c r="G1399" s="88" t="str">
        <x:f>IF(C1399="","",MIN(MAX(0,D1399+E1399-F1399),SUMIFS(SONDERZAHLUNGEN!$E$9:$E$128,SONDERZAHLUNGEN!$B$9:$B$128,C1399,SONDERZAHLUNGEN!$C$9:$C$128,A1399,SONDERZAHLUNGEN!$H$9:$H$128,"OK",SONDERZAHLUNGEN!$F$9:$F$128,"Ja")))</x:f>
      </x:c>
      <x:c r="H1399" s="88" t="str">
        <x:f>IF(C1399="","",MIN(MAX(0,D1399+E1399-F1399-G1399),MAX(0,IF(MONATSBUDGET!$C$76="",0,MONATSBUDGET!$C$76)-SUM(F1380:F1399)-SUM(H1380:H1398))))</x:f>
      </x:c>
      <x:c r="I1399" s="88" t="str">
        <x:f>IF(C1399="","",MAX(0,ROUND(D1399+E1399-F1399-G1399-H1399,2)))</x:f>
      </x:c>
      <x:c r="J1399" s="88" t="str">
        <x:f>IF(C1399="","",F1399+G1399+H1399)</x:f>
      </x:c>
      <x:c r="K1399" s="88" t="str">
        <x:f>IF(C1399="","",MAX(0,SUMIFS(SONDERZAHLUNGEN!$E$9:$E$128,SONDERZAHLUNGEN!$B$9:$B$128,C1399,SONDERZAHLUNGEN!$C$9:$C$128,A1399,SONDERZAHLUNGEN!$H$9:$H$128,"OK",SONDERZAHLUNGEN!$F$9:$F$128,"Ja")-G1399))</x:f>
      </x:c>
    </x:row>
    <x:row r="1400" ht="19" customHeight="1">
      <x:c r="A1400" s="90" t="n">
        <x:f>MONATSBUDGET!$A$77</x:f>
        <x:v>48335</x:v>
      </x:c>
      <x:c r="B1400" t="n">
        <x:f>1</x:f>
        <x:v>1</x:v>
      </x:c>
      <x:c r="C1400" t="str">
        <x:f>IF($N$9="","",$N$9)</x:f>
      </x:c>
      <x:c r="D1400" s="88" t="str">
        <x:f>IF(C1400="","",I1380)</x:f>
      </x:c>
      <x:c r="E1400" s="88" t="str">
        <x:f>IF(C1400="","",ROUND(D1400*$P$9/12,2))</x:f>
      </x:c>
      <x:c r="F1400" s="88" t="str">
        <x:f>IF(C1400="","",MIN(D1400+E1400,$Q$9))</x:f>
      </x:c>
      <x:c r="G1400" s="88" t="str">
        <x:f>IF(C1400="","",MIN(MAX(0,D1400+E1400-F1400),SUMIFS(SONDERZAHLUNGEN!$E$9:$E$128,SONDERZAHLUNGEN!$B$9:$B$128,C1400,SONDERZAHLUNGEN!$C$9:$C$128,A1400,SONDERZAHLUNGEN!$H$9:$H$128,"OK",SONDERZAHLUNGEN!$F$9:$F$128,"Ja")))</x:f>
      </x:c>
      <x:c r="H1400" s="88" t="str">
        <x:f>IF(C1400="","",MIN(MAX(0,D1400+E1400-F1400-G1400),MAX(0,IF(MONATSBUDGET!$C$77="",0,MONATSBUDGET!$C$77)-SUM(F1400:F1419)-0)))</x:f>
      </x:c>
      <x:c r="I1400" s="88" t="str">
        <x:f>IF(C1400="","",MAX(0,ROUND(D1400+E1400-F1400-G1400-H1400,2)))</x:f>
      </x:c>
      <x:c r="J1400" s="88" t="str">
        <x:f>IF(C1400="","",F1400+G1400+H1400)</x:f>
      </x:c>
      <x:c r="K1400" s="88" t="str">
        <x:f>IF(C1400="","",MAX(0,SUMIFS(SONDERZAHLUNGEN!$E$9:$E$128,SONDERZAHLUNGEN!$B$9:$B$128,C1400,SONDERZAHLUNGEN!$C$9:$C$128,A1400,SONDERZAHLUNGEN!$H$9:$H$128,"OK",SONDERZAHLUNGEN!$F$9:$F$128,"Ja")-G1400))</x:f>
      </x:c>
    </x:row>
    <x:row r="1401" ht="19" customHeight="1">
      <x:c r="A1401" s="90" t="n">
        <x:f>MONATSBUDGET!$A$77</x:f>
        <x:v>48335</x:v>
      </x:c>
      <x:c r="B1401" t="n">
        <x:f>2</x:f>
        <x:v>2</x:v>
      </x:c>
      <x:c r="C1401" t="str">
        <x:f>IF($N$10="","",$N$10)</x:f>
      </x:c>
      <x:c r="D1401" s="88" t="str">
        <x:f>IF(C1401="","",I1381)</x:f>
      </x:c>
      <x:c r="E1401" s="88" t="str">
        <x:f>IF(C1401="","",ROUND(D1401*$P$10/12,2))</x:f>
      </x:c>
      <x:c r="F1401" s="88" t="str">
        <x:f>IF(C1401="","",MIN(D1401+E1401,$Q$10))</x:f>
      </x:c>
      <x:c r="G1401" s="88" t="str">
        <x:f>IF(C1401="","",MIN(MAX(0,D1401+E1401-F1401),SUMIFS(SONDERZAHLUNGEN!$E$9:$E$128,SONDERZAHLUNGEN!$B$9:$B$128,C1401,SONDERZAHLUNGEN!$C$9:$C$128,A1401,SONDERZAHLUNGEN!$H$9:$H$128,"OK",SONDERZAHLUNGEN!$F$9:$F$128,"Ja")))</x:f>
      </x:c>
      <x:c r="H1401" s="88" t="str">
        <x:f>IF(C1401="","",MIN(MAX(0,D1401+E1401-F1401-G1401),MAX(0,IF(MONATSBUDGET!$C$77="",0,MONATSBUDGET!$C$77)-SUM(F1400:F1419)-SUM(H1400:H1400))))</x:f>
      </x:c>
      <x:c r="I1401" s="88" t="str">
        <x:f>IF(C1401="","",MAX(0,ROUND(D1401+E1401-F1401-G1401-H1401,2)))</x:f>
      </x:c>
      <x:c r="J1401" s="88" t="str">
        <x:f>IF(C1401="","",F1401+G1401+H1401)</x:f>
      </x:c>
      <x:c r="K1401" s="88" t="str">
        <x:f>IF(C1401="","",MAX(0,SUMIFS(SONDERZAHLUNGEN!$E$9:$E$128,SONDERZAHLUNGEN!$B$9:$B$128,C1401,SONDERZAHLUNGEN!$C$9:$C$128,A1401,SONDERZAHLUNGEN!$H$9:$H$128,"OK",SONDERZAHLUNGEN!$F$9:$F$128,"Ja")-G1401))</x:f>
      </x:c>
    </x:row>
    <x:row r="1402" ht="19" customHeight="1">
      <x:c r="A1402" s="90" t="n">
        <x:f>MONATSBUDGET!$A$77</x:f>
        <x:v>48335</x:v>
      </x:c>
      <x:c r="B1402" t="n">
        <x:f>3</x:f>
        <x:v>3</x:v>
      </x:c>
      <x:c r="C1402" t="str">
        <x:f>IF($N$11="","",$N$11)</x:f>
      </x:c>
      <x:c r="D1402" s="88" t="str">
        <x:f>IF(C1402="","",I1382)</x:f>
      </x:c>
      <x:c r="E1402" s="88" t="str">
        <x:f>IF(C1402="","",ROUND(D1402*$P$11/12,2))</x:f>
      </x:c>
      <x:c r="F1402" s="88" t="str">
        <x:f>IF(C1402="","",MIN(D1402+E1402,$Q$11))</x:f>
      </x:c>
      <x:c r="G1402" s="88" t="str">
        <x:f>IF(C1402="","",MIN(MAX(0,D1402+E1402-F1402),SUMIFS(SONDERZAHLUNGEN!$E$9:$E$128,SONDERZAHLUNGEN!$B$9:$B$128,C1402,SONDERZAHLUNGEN!$C$9:$C$128,A1402,SONDERZAHLUNGEN!$H$9:$H$128,"OK",SONDERZAHLUNGEN!$F$9:$F$128,"Ja")))</x:f>
      </x:c>
      <x:c r="H1402" s="88" t="str">
        <x:f>IF(C1402="","",MIN(MAX(0,D1402+E1402-F1402-G1402),MAX(0,IF(MONATSBUDGET!$C$77="",0,MONATSBUDGET!$C$77)-SUM(F1400:F1419)-SUM(H1400:H1401))))</x:f>
      </x:c>
      <x:c r="I1402" s="88" t="str">
        <x:f>IF(C1402="","",MAX(0,ROUND(D1402+E1402-F1402-G1402-H1402,2)))</x:f>
      </x:c>
      <x:c r="J1402" s="88" t="str">
        <x:f>IF(C1402="","",F1402+G1402+H1402)</x:f>
      </x:c>
      <x:c r="K1402" s="88" t="str">
        <x:f>IF(C1402="","",MAX(0,SUMIFS(SONDERZAHLUNGEN!$E$9:$E$128,SONDERZAHLUNGEN!$B$9:$B$128,C1402,SONDERZAHLUNGEN!$C$9:$C$128,A1402,SONDERZAHLUNGEN!$H$9:$H$128,"OK",SONDERZAHLUNGEN!$F$9:$F$128,"Ja")-G1402))</x:f>
      </x:c>
    </x:row>
    <x:row r="1403" ht="19" customHeight="1">
      <x:c r="A1403" s="90" t="n">
        <x:f>MONATSBUDGET!$A$77</x:f>
        <x:v>48335</x:v>
      </x:c>
      <x:c r="B1403" t="n">
        <x:f>4</x:f>
        <x:v>4</x:v>
      </x:c>
      <x:c r="C1403" t="str">
        <x:f>IF($N$12="","",$N$12)</x:f>
      </x:c>
      <x:c r="D1403" s="88" t="str">
        <x:f>IF(C1403="","",I1383)</x:f>
      </x:c>
      <x:c r="E1403" s="88" t="str">
        <x:f>IF(C1403="","",ROUND(D1403*$P$12/12,2))</x:f>
      </x:c>
      <x:c r="F1403" s="88" t="str">
        <x:f>IF(C1403="","",MIN(D1403+E1403,$Q$12))</x:f>
      </x:c>
      <x:c r="G1403" s="88" t="str">
        <x:f>IF(C1403="","",MIN(MAX(0,D1403+E1403-F1403),SUMIFS(SONDERZAHLUNGEN!$E$9:$E$128,SONDERZAHLUNGEN!$B$9:$B$128,C1403,SONDERZAHLUNGEN!$C$9:$C$128,A1403,SONDERZAHLUNGEN!$H$9:$H$128,"OK",SONDERZAHLUNGEN!$F$9:$F$128,"Ja")))</x:f>
      </x:c>
      <x:c r="H1403" s="88" t="str">
        <x:f>IF(C1403="","",MIN(MAX(0,D1403+E1403-F1403-G1403),MAX(0,IF(MONATSBUDGET!$C$77="",0,MONATSBUDGET!$C$77)-SUM(F1400:F1419)-SUM(H1400:H1402))))</x:f>
      </x:c>
      <x:c r="I1403" s="88" t="str">
        <x:f>IF(C1403="","",MAX(0,ROUND(D1403+E1403-F1403-G1403-H1403,2)))</x:f>
      </x:c>
      <x:c r="J1403" s="88" t="str">
        <x:f>IF(C1403="","",F1403+G1403+H1403)</x:f>
      </x:c>
      <x:c r="K1403" s="88" t="str">
        <x:f>IF(C1403="","",MAX(0,SUMIFS(SONDERZAHLUNGEN!$E$9:$E$128,SONDERZAHLUNGEN!$B$9:$B$128,C1403,SONDERZAHLUNGEN!$C$9:$C$128,A1403,SONDERZAHLUNGEN!$H$9:$H$128,"OK",SONDERZAHLUNGEN!$F$9:$F$128,"Ja")-G1403))</x:f>
      </x:c>
    </x:row>
    <x:row r="1404" ht="19" customHeight="1">
      <x:c r="A1404" s="90" t="n">
        <x:f>MONATSBUDGET!$A$77</x:f>
        <x:v>48335</x:v>
      </x:c>
      <x:c r="B1404" t="n">
        <x:f>5</x:f>
        <x:v>5</x:v>
      </x:c>
      <x:c r="C1404" t="str">
        <x:f>IF($N$13="","",$N$13)</x:f>
      </x:c>
      <x:c r="D1404" s="88" t="str">
        <x:f>IF(C1404="","",I1384)</x:f>
      </x:c>
      <x:c r="E1404" s="88" t="str">
        <x:f>IF(C1404="","",ROUND(D1404*$P$13/12,2))</x:f>
      </x:c>
      <x:c r="F1404" s="88" t="str">
        <x:f>IF(C1404="","",MIN(D1404+E1404,$Q$13))</x:f>
      </x:c>
      <x:c r="G1404" s="88" t="str">
        <x:f>IF(C1404="","",MIN(MAX(0,D1404+E1404-F1404),SUMIFS(SONDERZAHLUNGEN!$E$9:$E$128,SONDERZAHLUNGEN!$B$9:$B$128,C1404,SONDERZAHLUNGEN!$C$9:$C$128,A1404,SONDERZAHLUNGEN!$H$9:$H$128,"OK",SONDERZAHLUNGEN!$F$9:$F$128,"Ja")))</x:f>
      </x:c>
      <x:c r="H1404" s="88" t="str">
        <x:f>IF(C1404="","",MIN(MAX(0,D1404+E1404-F1404-G1404),MAX(0,IF(MONATSBUDGET!$C$77="",0,MONATSBUDGET!$C$77)-SUM(F1400:F1419)-SUM(H1400:H1403))))</x:f>
      </x:c>
      <x:c r="I1404" s="88" t="str">
        <x:f>IF(C1404="","",MAX(0,ROUND(D1404+E1404-F1404-G1404-H1404,2)))</x:f>
      </x:c>
      <x:c r="J1404" s="88" t="str">
        <x:f>IF(C1404="","",F1404+G1404+H1404)</x:f>
      </x:c>
      <x:c r="K1404" s="88" t="str">
        <x:f>IF(C1404="","",MAX(0,SUMIFS(SONDERZAHLUNGEN!$E$9:$E$128,SONDERZAHLUNGEN!$B$9:$B$128,C1404,SONDERZAHLUNGEN!$C$9:$C$128,A1404,SONDERZAHLUNGEN!$H$9:$H$128,"OK",SONDERZAHLUNGEN!$F$9:$F$128,"Ja")-G1404))</x:f>
      </x:c>
    </x:row>
    <x:row r="1405" ht="19" customHeight="1">
      <x:c r="A1405" s="90" t="n">
        <x:f>MONATSBUDGET!$A$77</x:f>
        <x:v>48335</x:v>
      </x:c>
      <x:c r="B1405" t="n">
        <x:f>6</x:f>
        <x:v>6</x:v>
      </x:c>
      <x:c r="C1405" t="str">
        <x:f>IF($N$14="","",$N$14)</x:f>
      </x:c>
      <x:c r="D1405" s="88" t="str">
        <x:f>IF(C1405="","",I1385)</x:f>
      </x:c>
      <x:c r="E1405" s="88" t="str">
        <x:f>IF(C1405="","",ROUND(D1405*$P$14/12,2))</x:f>
      </x:c>
      <x:c r="F1405" s="88" t="str">
        <x:f>IF(C1405="","",MIN(D1405+E1405,$Q$14))</x:f>
      </x:c>
      <x:c r="G1405" s="88" t="str">
        <x:f>IF(C1405="","",MIN(MAX(0,D1405+E1405-F1405),SUMIFS(SONDERZAHLUNGEN!$E$9:$E$128,SONDERZAHLUNGEN!$B$9:$B$128,C1405,SONDERZAHLUNGEN!$C$9:$C$128,A1405,SONDERZAHLUNGEN!$H$9:$H$128,"OK",SONDERZAHLUNGEN!$F$9:$F$128,"Ja")))</x:f>
      </x:c>
      <x:c r="H1405" s="88" t="str">
        <x:f>IF(C1405="","",MIN(MAX(0,D1405+E1405-F1405-G1405),MAX(0,IF(MONATSBUDGET!$C$77="",0,MONATSBUDGET!$C$77)-SUM(F1400:F1419)-SUM(H1400:H1404))))</x:f>
      </x:c>
      <x:c r="I1405" s="88" t="str">
        <x:f>IF(C1405="","",MAX(0,ROUND(D1405+E1405-F1405-G1405-H1405,2)))</x:f>
      </x:c>
      <x:c r="J1405" s="88" t="str">
        <x:f>IF(C1405="","",F1405+G1405+H1405)</x:f>
      </x:c>
      <x:c r="K1405" s="88" t="str">
        <x:f>IF(C1405="","",MAX(0,SUMIFS(SONDERZAHLUNGEN!$E$9:$E$128,SONDERZAHLUNGEN!$B$9:$B$128,C1405,SONDERZAHLUNGEN!$C$9:$C$128,A1405,SONDERZAHLUNGEN!$H$9:$H$128,"OK",SONDERZAHLUNGEN!$F$9:$F$128,"Ja")-G1405))</x:f>
      </x:c>
    </x:row>
    <x:row r="1406" ht="19" customHeight="1">
      <x:c r="A1406" s="90" t="n">
        <x:f>MONATSBUDGET!$A$77</x:f>
        <x:v>48335</x:v>
      </x:c>
      <x:c r="B1406" t="n">
        <x:f>7</x:f>
        <x:v>7</x:v>
      </x:c>
      <x:c r="C1406" t="str">
        <x:f>IF($N$15="","",$N$15)</x:f>
      </x:c>
      <x:c r="D1406" s="88" t="str">
        <x:f>IF(C1406="","",I1386)</x:f>
      </x:c>
      <x:c r="E1406" s="88" t="str">
        <x:f>IF(C1406="","",ROUND(D1406*$P$15/12,2))</x:f>
      </x:c>
      <x:c r="F1406" s="88" t="str">
        <x:f>IF(C1406="","",MIN(D1406+E1406,$Q$15))</x:f>
      </x:c>
      <x:c r="G1406" s="88" t="str">
        <x:f>IF(C1406="","",MIN(MAX(0,D1406+E1406-F1406),SUMIFS(SONDERZAHLUNGEN!$E$9:$E$128,SONDERZAHLUNGEN!$B$9:$B$128,C1406,SONDERZAHLUNGEN!$C$9:$C$128,A1406,SONDERZAHLUNGEN!$H$9:$H$128,"OK",SONDERZAHLUNGEN!$F$9:$F$128,"Ja")))</x:f>
      </x:c>
      <x:c r="H1406" s="88" t="str">
        <x:f>IF(C1406="","",MIN(MAX(0,D1406+E1406-F1406-G1406),MAX(0,IF(MONATSBUDGET!$C$77="",0,MONATSBUDGET!$C$77)-SUM(F1400:F1419)-SUM(H1400:H1405))))</x:f>
      </x:c>
      <x:c r="I1406" s="88" t="str">
        <x:f>IF(C1406="","",MAX(0,ROUND(D1406+E1406-F1406-G1406-H1406,2)))</x:f>
      </x:c>
      <x:c r="J1406" s="88" t="str">
        <x:f>IF(C1406="","",F1406+G1406+H1406)</x:f>
      </x:c>
      <x:c r="K1406" s="88" t="str">
        <x:f>IF(C1406="","",MAX(0,SUMIFS(SONDERZAHLUNGEN!$E$9:$E$128,SONDERZAHLUNGEN!$B$9:$B$128,C1406,SONDERZAHLUNGEN!$C$9:$C$128,A1406,SONDERZAHLUNGEN!$H$9:$H$128,"OK",SONDERZAHLUNGEN!$F$9:$F$128,"Ja")-G1406))</x:f>
      </x:c>
    </x:row>
    <x:row r="1407" ht="19" customHeight="1">
      <x:c r="A1407" s="90" t="n">
        <x:f>MONATSBUDGET!$A$77</x:f>
        <x:v>48335</x:v>
      </x:c>
      <x:c r="B1407" t="n">
        <x:f>8</x:f>
        <x:v>8</x:v>
      </x:c>
      <x:c r="C1407" t="str">
        <x:f>IF($N$16="","",$N$16)</x:f>
      </x:c>
      <x:c r="D1407" s="88" t="str">
        <x:f>IF(C1407="","",I1387)</x:f>
      </x:c>
      <x:c r="E1407" s="88" t="str">
        <x:f>IF(C1407="","",ROUND(D1407*$P$16/12,2))</x:f>
      </x:c>
      <x:c r="F1407" s="88" t="str">
        <x:f>IF(C1407="","",MIN(D1407+E1407,$Q$16))</x:f>
      </x:c>
      <x:c r="G1407" s="88" t="str">
        <x:f>IF(C1407="","",MIN(MAX(0,D1407+E1407-F1407),SUMIFS(SONDERZAHLUNGEN!$E$9:$E$128,SONDERZAHLUNGEN!$B$9:$B$128,C1407,SONDERZAHLUNGEN!$C$9:$C$128,A1407,SONDERZAHLUNGEN!$H$9:$H$128,"OK",SONDERZAHLUNGEN!$F$9:$F$128,"Ja")))</x:f>
      </x:c>
      <x:c r="H1407" s="88" t="str">
        <x:f>IF(C1407="","",MIN(MAX(0,D1407+E1407-F1407-G1407),MAX(0,IF(MONATSBUDGET!$C$77="",0,MONATSBUDGET!$C$77)-SUM(F1400:F1419)-SUM(H1400:H1406))))</x:f>
      </x:c>
      <x:c r="I1407" s="88" t="str">
        <x:f>IF(C1407="","",MAX(0,ROUND(D1407+E1407-F1407-G1407-H1407,2)))</x:f>
      </x:c>
      <x:c r="J1407" s="88" t="str">
        <x:f>IF(C1407="","",F1407+G1407+H1407)</x:f>
      </x:c>
      <x:c r="K1407" s="88" t="str">
        <x:f>IF(C1407="","",MAX(0,SUMIFS(SONDERZAHLUNGEN!$E$9:$E$128,SONDERZAHLUNGEN!$B$9:$B$128,C1407,SONDERZAHLUNGEN!$C$9:$C$128,A1407,SONDERZAHLUNGEN!$H$9:$H$128,"OK",SONDERZAHLUNGEN!$F$9:$F$128,"Ja")-G1407))</x:f>
      </x:c>
    </x:row>
    <x:row r="1408" ht="19" customHeight="1">
      <x:c r="A1408" s="90" t="n">
        <x:f>MONATSBUDGET!$A$77</x:f>
        <x:v>48335</x:v>
      </x:c>
      <x:c r="B1408" t="n">
        <x:f>9</x:f>
        <x:v>9</x:v>
      </x:c>
      <x:c r="C1408" t="str">
        <x:f>IF($N$17="","",$N$17)</x:f>
      </x:c>
      <x:c r="D1408" s="88" t="str">
        <x:f>IF(C1408="","",I1388)</x:f>
      </x:c>
      <x:c r="E1408" s="88" t="str">
        <x:f>IF(C1408="","",ROUND(D1408*$P$17/12,2))</x:f>
      </x:c>
      <x:c r="F1408" s="88" t="str">
        <x:f>IF(C1408="","",MIN(D1408+E1408,$Q$17))</x:f>
      </x:c>
      <x:c r="G1408" s="88" t="str">
        <x:f>IF(C1408="","",MIN(MAX(0,D1408+E1408-F1408),SUMIFS(SONDERZAHLUNGEN!$E$9:$E$128,SONDERZAHLUNGEN!$B$9:$B$128,C1408,SONDERZAHLUNGEN!$C$9:$C$128,A1408,SONDERZAHLUNGEN!$H$9:$H$128,"OK",SONDERZAHLUNGEN!$F$9:$F$128,"Ja")))</x:f>
      </x:c>
      <x:c r="H1408" s="88" t="str">
        <x:f>IF(C1408="","",MIN(MAX(0,D1408+E1408-F1408-G1408),MAX(0,IF(MONATSBUDGET!$C$77="",0,MONATSBUDGET!$C$77)-SUM(F1400:F1419)-SUM(H1400:H1407))))</x:f>
      </x:c>
      <x:c r="I1408" s="88" t="str">
        <x:f>IF(C1408="","",MAX(0,ROUND(D1408+E1408-F1408-G1408-H1408,2)))</x:f>
      </x:c>
      <x:c r="J1408" s="88" t="str">
        <x:f>IF(C1408="","",F1408+G1408+H1408)</x:f>
      </x:c>
      <x:c r="K1408" s="88" t="str">
        <x:f>IF(C1408="","",MAX(0,SUMIFS(SONDERZAHLUNGEN!$E$9:$E$128,SONDERZAHLUNGEN!$B$9:$B$128,C1408,SONDERZAHLUNGEN!$C$9:$C$128,A1408,SONDERZAHLUNGEN!$H$9:$H$128,"OK",SONDERZAHLUNGEN!$F$9:$F$128,"Ja")-G1408))</x:f>
      </x:c>
    </x:row>
    <x:row r="1409" ht="19" customHeight="1">
      <x:c r="A1409" s="90" t="n">
        <x:f>MONATSBUDGET!$A$77</x:f>
        <x:v>48335</x:v>
      </x:c>
      <x:c r="B1409" t="n">
        <x:f>10</x:f>
        <x:v>10</x:v>
      </x:c>
      <x:c r="C1409" t="str">
        <x:f>IF($N$18="","",$N$18)</x:f>
      </x:c>
      <x:c r="D1409" s="88" t="str">
        <x:f>IF(C1409="","",I1389)</x:f>
      </x:c>
      <x:c r="E1409" s="88" t="str">
        <x:f>IF(C1409="","",ROUND(D1409*$P$18/12,2))</x:f>
      </x:c>
      <x:c r="F1409" s="88" t="str">
        <x:f>IF(C1409="","",MIN(D1409+E1409,$Q$18))</x:f>
      </x:c>
      <x:c r="G1409" s="88" t="str">
        <x:f>IF(C1409="","",MIN(MAX(0,D1409+E1409-F1409),SUMIFS(SONDERZAHLUNGEN!$E$9:$E$128,SONDERZAHLUNGEN!$B$9:$B$128,C1409,SONDERZAHLUNGEN!$C$9:$C$128,A1409,SONDERZAHLUNGEN!$H$9:$H$128,"OK",SONDERZAHLUNGEN!$F$9:$F$128,"Ja")))</x:f>
      </x:c>
      <x:c r="H1409" s="88" t="str">
        <x:f>IF(C1409="","",MIN(MAX(0,D1409+E1409-F1409-G1409),MAX(0,IF(MONATSBUDGET!$C$77="",0,MONATSBUDGET!$C$77)-SUM(F1400:F1419)-SUM(H1400:H1408))))</x:f>
      </x:c>
      <x:c r="I1409" s="88" t="str">
        <x:f>IF(C1409="","",MAX(0,ROUND(D1409+E1409-F1409-G1409-H1409,2)))</x:f>
      </x:c>
      <x:c r="J1409" s="88" t="str">
        <x:f>IF(C1409="","",F1409+G1409+H1409)</x:f>
      </x:c>
      <x:c r="K1409" s="88" t="str">
        <x:f>IF(C1409="","",MAX(0,SUMIFS(SONDERZAHLUNGEN!$E$9:$E$128,SONDERZAHLUNGEN!$B$9:$B$128,C1409,SONDERZAHLUNGEN!$C$9:$C$128,A1409,SONDERZAHLUNGEN!$H$9:$H$128,"OK",SONDERZAHLUNGEN!$F$9:$F$128,"Ja")-G1409))</x:f>
      </x:c>
    </x:row>
    <x:row r="1410" ht="19" customHeight="1">
      <x:c r="A1410" s="90" t="n">
        <x:f>MONATSBUDGET!$A$77</x:f>
        <x:v>48335</x:v>
      </x:c>
      <x:c r="B1410" t="n">
        <x:f>11</x:f>
        <x:v>11</x:v>
      </x:c>
      <x:c r="C1410" t="str">
        <x:f>IF($N$19="","",$N$19)</x:f>
      </x:c>
      <x:c r="D1410" s="88" t="str">
        <x:f>IF(C1410="","",I1390)</x:f>
      </x:c>
      <x:c r="E1410" s="88" t="str">
        <x:f>IF(C1410="","",ROUND(D1410*$P$19/12,2))</x:f>
      </x:c>
      <x:c r="F1410" s="88" t="str">
        <x:f>IF(C1410="","",MIN(D1410+E1410,$Q$19))</x:f>
      </x:c>
      <x:c r="G1410" s="88" t="str">
        <x:f>IF(C1410="","",MIN(MAX(0,D1410+E1410-F1410),SUMIFS(SONDERZAHLUNGEN!$E$9:$E$128,SONDERZAHLUNGEN!$B$9:$B$128,C1410,SONDERZAHLUNGEN!$C$9:$C$128,A1410,SONDERZAHLUNGEN!$H$9:$H$128,"OK",SONDERZAHLUNGEN!$F$9:$F$128,"Ja")))</x:f>
      </x:c>
      <x:c r="H1410" s="88" t="str">
        <x:f>IF(C1410="","",MIN(MAX(0,D1410+E1410-F1410-G1410),MAX(0,IF(MONATSBUDGET!$C$77="",0,MONATSBUDGET!$C$77)-SUM(F1400:F1419)-SUM(H1400:H1409))))</x:f>
      </x:c>
      <x:c r="I1410" s="88" t="str">
        <x:f>IF(C1410="","",MAX(0,ROUND(D1410+E1410-F1410-G1410-H1410,2)))</x:f>
      </x:c>
      <x:c r="J1410" s="88" t="str">
        <x:f>IF(C1410="","",F1410+G1410+H1410)</x:f>
      </x:c>
      <x:c r="K1410" s="88" t="str">
        <x:f>IF(C1410="","",MAX(0,SUMIFS(SONDERZAHLUNGEN!$E$9:$E$128,SONDERZAHLUNGEN!$B$9:$B$128,C1410,SONDERZAHLUNGEN!$C$9:$C$128,A1410,SONDERZAHLUNGEN!$H$9:$H$128,"OK",SONDERZAHLUNGEN!$F$9:$F$128,"Ja")-G1410))</x:f>
      </x:c>
    </x:row>
    <x:row r="1411" ht="19" customHeight="1">
      <x:c r="A1411" s="90" t="n">
        <x:f>MONATSBUDGET!$A$77</x:f>
        <x:v>48335</x:v>
      </x:c>
      <x:c r="B1411" t="n">
        <x:f>12</x:f>
        <x:v>12</x:v>
      </x:c>
      <x:c r="C1411" t="str">
        <x:f>IF($N$20="","",$N$20)</x:f>
      </x:c>
      <x:c r="D1411" s="88" t="str">
        <x:f>IF(C1411="","",I1391)</x:f>
      </x:c>
      <x:c r="E1411" s="88" t="str">
        <x:f>IF(C1411="","",ROUND(D1411*$P$20/12,2))</x:f>
      </x:c>
      <x:c r="F1411" s="88" t="str">
        <x:f>IF(C1411="","",MIN(D1411+E1411,$Q$20))</x:f>
      </x:c>
      <x:c r="G1411" s="88" t="str">
        <x:f>IF(C1411="","",MIN(MAX(0,D1411+E1411-F1411),SUMIFS(SONDERZAHLUNGEN!$E$9:$E$128,SONDERZAHLUNGEN!$B$9:$B$128,C1411,SONDERZAHLUNGEN!$C$9:$C$128,A1411,SONDERZAHLUNGEN!$H$9:$H$128,"OK",SONDERZAHLUNGEN!$F$9:$F$128,"Ja")))</x:f>
      </x:c>
      <x:c r="H1411" s="88" t="str">
        <x:f>IF(C1411="","",MIN(MAX(0,D1411+E1411-F1411-G1411),MAX(0,IF(MONATSBUDGET!$C$77="",0,MONATSBUDGET!$C$77)-SUM(F1400:F1419)-SUM(H1400:H1410))))</x:f>
      </x:c>
      <x:c r="I1411" s="88" t="str">
        <x:f>IF(C1411="","",MAX(0,ROUND(D1411+E1411-F1411-G1411-H1411,2)))</x:f>
      </x:c>
      <x:c r="J1411" s="88" t="str">
        <x:f>IF(C1411="","",F1411+G1411+H1411)</x:f>
      </x:c>
      <x:c r="K1411" s="88" t="str">
        <x:f>IF(C1411="","",MAX(0,SUMIFS(SONDERZAHLUNGEN!$E$9:$E$128,SONDERZAHLUNGEN!$B$9:$B$128,C1411,SONDERZAHLUNGEN!$C$9:$C$128,A1411,SONDERZAHLUNGEN!$H$9:$H$128,"OK",SONDERZAHLUNGEN!$F$9:$F$128,"Ja")-G1411))</x:f>
      </x:c>
    </x:row>
    <x:row r="1412" ht="19" customHeight="1">
      <x:c r="A1412" s="90" t="n">
        <x:f>MONATSBUDGET!$A$77</x:f>
        <x:v>48335</x:v>
      </x:c>
      <x:c r="B1412" t="n">
        <x:f>13</x:f>
        <x:v>13</x:v>
      </x:c>
      <x:c r="C1412" t="str">
        <x:f>IF($N$21="","",$N$21)</x:f>
      </x:c>
      <x:c r="D1412" s="88" t="str">
        <x:f>IF(C1412="","",I1392)</x:f>
      </x:c>
      <x:c r="E1412" s="88" t="str">
        <x:f>IF(C1412="","",ROUND(D1412*$P$21/12,2))</x:f>
      </x:c>
      <x:c r="F1412" s="88" t="str">
        <x:f>IF(C1412="","",MIN(D1412+E1412,$Q$21))</x:f>
      </x:c>
      <x:c r="G1412" s="88" t="str">
        <x:f>IF(C1412="","",MIN(MAX(0,D1412+E1412-F1412),SUMIFS(SONDERZAHLUNGEN!$E$9:$E$128,SONDERZAHLUNGEN!$B$9:$B$128,C1412,SONDERZAHLUNGEN!$C$9:$C$128,A1412,SONDERZAHLUNGEN!$H$9:$H$128,"OK",SONDERZAHLUNGEN!$F$9:$F$128,"Ja")))</x:f>
      </x:c>
      <x:c r="H1412" s="88" t="str">
        <x:f>IF(C1412="","",MIN(MAX(0,D1412+E1412-F1412-G1412),MAX(0,IF(MONATSBUDGET!$C$77="",0,MONATSBUDGET!$C$77)-SUM(F1400:F1419)-SUM(H1400:H1411))))</x:f>
      </x:c>
      <x:c r="I1412" s="88" t="str">
        <x:f>IF(C1412="","",MAX(0,ROUND(D1412+E1412-F1412-G1412-H1412,2)))</x:f>
      </x:c>
      <x:c r="J1412" s="88" t="str">
        <x:f>IF(C1412="","",F1412+G1412+H1412)</x:f>
      </x:c>
      <x:c r="K1412" s="88" t="str">
        <x:f>IF(C1412="","",MAX(0,SUMIFS(SONDERZAHLUNGEN!$E$9:$E$128,SONDERZAHLUNGEN!$B$9:$B$128,C1412,SONDERZAHLUNGEN!$C$9:$C$128,A1412,SONDERZAHLUNGEN!$H$9:$H$128,"OK",SONDERZAHLUNGEN!$F$9:$F$128,"Ja")-G1412))</x:f>
      </x:c>
    </x:row>
    <x:row r="1413" ht="19" customHeight="1">
      <x:c r="A1413" s="90" t="n">
        <x:f>MONATSBUDGET!$A$77</x:f>
        <x:v>48335</x:v>
      </x:c>
      <x:c r="B1413" t="n">
        <x:f>14</x:f>
        <x:v>14</x:v>
      </x:c>
      <x:c r="C1413" t="str">
        <x:f>IF($N$22="","",$N$22)</x:f>
      </x:c>
      <x:c r="D1413" s="88" t="str">
        <x:f>IF(C1413="","",I1393)</x:f>
      </x:c>
      <x:c r="E1413" s="88" t="str">
        <x:f>IF(C1413="","",ROUND(D1413*$P$22/12,2))</x:f>
      </x:c>
      <x:c r="F1413" s="88" t="str">
        <x:f>IF(C1413="","",MIN(D1413+E1413,$Q$22))</x:f>
      </x:c>
      <x:c r="G1413" s="88" t="str">
        <x:f>IF(C1413="","",MIN(MAX(0,D1413+E1413-F1413),SUMIFS(SONDERZAHLUNGEN!$E$9:$E$128,SONDERZAHLUNGEN!$B$9:$B$128,C1413,SONDERZAHLUNGEN!$C$9:$C$128,A1413,SONDERZAHLUNGEN!$H$9:$H$128,"OK",SONDERZAHLUNGEN!$F$9:$F$128,"Ja")))</x:f>
      </x:c>
      <x:c r="H1413" s="88" t="str">
        <x:f>IF(C1413="","",MIN(MAX(0,D1413+E1413-F1413-G1413),MAX(0,IF(MONATSBUDGET!$C$77="",0,MONATSBUDGET!$C$77)-SUM(F1400:F1419)-SUM(H1400:H1412))))</x:f>
      </x:c>
      <x:c r="I1413" s="88" t="str">
        <x:f>IF(C1413="","",MAX(0,ROUND(D1413+E1413-F1413-G1413-H1413,2)))</x:f>
      </x:c>
      <x:c r="J1413" s="88" t="str">
        <x:f>IF(C1413="","",F1413+G1413+H1413)</x:f>
      </x:c>
      <x:c r="K1413" s="88" t="str">
        <x:f>IF(C1413="","",MAX(0,SUMIFS(SONDERZAHLUNGEN!$E$9:$E$128,SONDERZAHLUNGEN!$B$9:$B$128,C1413,SONDERZAHLUNGEN!$C$9:$C$128,A1413,SONDERZAHLUNGEN!$H$9:$H$128,"OK",SONDERZAHLUNGEN!$F$9:$F$128,"Ja")-G1413))</x:f>
      </x:c>
    </x:row>
    <x:row r="1414" ht="19" customHeight="1">
      <x:c r="A1414" s="90" t="n">
        <x:f>MONATSBUDGET!$A$77</x:f>
        <x:v>48335</x:v>
      </x:c>
      <x:c r="B1414" t="n">
        <x:f>15</x:f>
        <x:v>15</x:v>
      </x:c>
      <x:c r="C1414" t="str">
        <x:f>IF($N$23="","",$N$23)</x:f>
      </x:c>
      <x:c r="D1414" s="88" t="str">
        <x:f>IF(C1414="","",I1394)</x:f>
      </x:c>
      <x:c r="E1414" s="88" t="str">
        <x:f>IF(C1414="","",ROUND(D1414*$P$23/12,2))</x:f>
      </x:c>
      <x:c r="F1414" s="88" t="str">
        <x:f>IF(C1414="","",MIN(D1414+E1414,$Q$23))</x:f>
      </x:c>
      <x:c r="G1414" s="88" t="str">
        <x:f>IF(C1414="","",MIN(MAX(0,D1414+E1414-F1414),SUMIFS(SONDERZAHLUNGEN!$E$9:$E$128,SONDERZAHLUNGEN!$B$9:$B$128,C1414,SONDERZAHLUNGEN!$C$9:$C$128,A1414,SONDERZAHLUNGEN!$H$9:$H$128,"OK",SONDERZAHLUNGEN!$F$9:$F$128,"Ja")))</x:f>
      </x:c>
      <x:c r="H1414" s="88" t="str">
        <x:f>IF(C1414="","",MIN(MAX(0,D1414+E1414-F1414-G1414),MAX(0,IF(MONATSBUDGET!$C$77="",0,MONATSBUDGET!$C$77)-SUM(F1400:F1419)-SUM(H1400:H1413))))</x:f>
      </x:c>
      <x:c r="I1414" s="88" t="str">
        <x:f>IF(C1414="","",MAX(0,ROUND(D1414+E1414-F1414-G1414-H1414,2)))</x:f>
      </x:c>
      <x:c r="J1414" s="88" t="str">
        <x:f>IF(C1414="","",F1414+G1414+H1414)</x:f>
      </x:c>
      <x:c r="K1414" s="88" t="str">
        <x:f>IF(C1414="","",MAX(0,SUMIFS(SONDERZAHLUNGEN!$E$9:$E$128,SONDERZAHLUNGEN!$B$9:$B$128,C1414,SONDERZAHLUNGEN!$C$9:$C$128,A1414,SONDERZAHLUNGEN!$H$9:$H$128,"OK",SONDERZAHLUNGEN!$F$9:$F$128,"Ja")-G1414))</x:f>
      </x:c>
    </x:row>
    <x:row r="1415" ht="19" customHeight="1">
      <x:c r="A1415" s="90" t="n">
        <x:f>MONATSBUDGET!$A$77</x:f>
        <x:v>48335</x:v>
      </x:c>
      <x:c r="B1415" t="n">
        <x:f>16</x:f>
        <x:v>16</x:v>
      </x:c>
      <x:c r="C1415" t="str">
        <x:f>IF($N$24="","",$N$24)</x:f>
      </x:c>
      <x:c r="D1415" s="88" t="str">
        <x:f>IF(C1415="","",I1395)</x:f>
      </x:c>
      <x:c r="E1415" s="88" t="str">
        <x:f>IF(C1415="","",ROUND(D1415*$P$24/12,2))</x:f>
      </x:c>
      <x:c r="F1415" s="88" t="str">
        <x:f>IF(C1415="","",MIN(D1415+E1415,$Q$24))</x:f>
      </x:c>
      <x:c r="G1415" s="88" t="str">
        <x:f>IF(C1415="","",MIN(MAX(0,D1415+E1415-F1415),SUMIFS(SONDERZAHLUNGEN!$E$9:$E$128,SONDERZAHLUNGEN!$B$9:$B$128,C1415,SONDERZAHLUNGEN!$C$9:$C$128,A1415,SONDERZAHLUNGEN!$H$9:$H$128,"OK",SONDERZAHLUNGEN!$F$9:$F$128,"Ja")))</x:f>
      </x:c>
      <x:c r="H1415" s="88" t="str">
        <x:f>IF(C1415="","",MIN(MAX(0,D1415+E1415-F1415-G1415),MAX(0,IF(MONATSBUDGET!$C$77="",0,MONATSBUDGET!$C$77)-SUM(F1400:F1419)-SUM(H1400:H1414))))</x:f>
      </x:c>
      <x:c r="I1415" s="88" t="str">
        <x:f>IF(C1415="","",MAX(0,ROUND(D1415+E1415-F1415-G1415-H1415,2)))</x:f>
      </x:c>
      <x:c r="J1415" s="88" t="str">
        <x:f>IF(C1415="","",F1415+G1415+H1415)</x:f>
      </x:c>
      <x:c r="K1415" s="88" t="str">
        <x:f>IF(C1415="","",MAX(0,SUMIFS(SONDERZAHLUNGEN!$E$9:$E$128,SONDERZAHLUNGEN!$B$9:$B$128,C1415,SONDERZAHLUNGEN!$C$9:$C$128,A1415,SONDERZAHLUNGEN!$H$9:$H$128,"OK",SONDERZAHLUNGEN!$F$9:$F$128,"Ja")-G1415))</x:f>
      </x:c>
    </x:row>
    <x:row r="1416" ht="19" customHeight="1">
      <x:c r="A1416" s="90" t="n">
        <x:f>MONATSBUDGET!$A$77</x:f>
        <x:v>48335</x:v>
      </x:c>
      <x:c r="B1416" t="n">
        <x:f>17</x:f>
        <x:v>17</x:v>
      </x:c>
      <x:c r="C1416" t="str">
        <x:f>IF($N$25="","",$N$25)</x:f>
      </x:c>
      <x:c r="D1416" s="88" t="str">
        <x:f>IF(C1416="","",I1396)</x:f>
      </x:c>
      <x:c r="E1416" s="88" t="str">
        <x:f>IF(C1416="","",ROUND(D1416*$P$25/12,2))</x:f>
      </x:c>
      <x:c r="F1416" s="88" t="str">
        <x:f>IF(C1416="","",MIN(D1416+E1416,$Q$25))</x:f>
      </x:c>
      <x:c r="G1416" s="88" t="str">
        <x:f>IF(C1416="","",MIN(MAX(0,D1416+E1416-F1416),SUMIFS(SONDERZAHLUNGEN!$E$9:$E$128,SONDERZAHLUNGEN!$B$9:$B$128,C1416,SONDERZAHLUNGEN!$C$9:$C$128,A1416,SONDERZAHLUNGEN!$H$9:$H$128,"OK",SONDERZAHLUNGEN!$F$9:$F$128,"Ja")))</x:f>
      </x:c>
      <x:c r="H1416" s="88" t="str">
        <x:f>IF(C1416="","",MIN(MAX(0,D1416+E1416-F1416-G1416),MAX(0,IF(MONATSBUDGET!$C$77="",0,MONATSBUDGET!$C$77)-SUM(F1400:F1419)-SUM(H1400:H1415))))</x:f>
      </x:c>
      <x:c r="I1416" s="88" t="str">
        <x:f>IF(C1416="","",MAX(0,ROUND(D1416+E1416-F1416-G1416-H1416,2)))</x:f>
      </x:c>
      <x:c r="J1416" s="88" t="str">
        <x:f>IF(C1416="","",F1416+G1416+H1416)</x:f>
      </x:c>
      <x:c r="K1416" s="88" t="str">
        <x:f>IF(C1416="","",MAX(0,SUMIFS(SONDERZAHLUNGEN!$E$9:$E$128,SONDERZAHLUNGEN!$B$9:$B$128,C1416,SONDERZAHLUNGEN!$C$9:$C$128,A1416,SONDERZAHLUNGEN!$H$9:$H$128,"OK",SONDERZAHLUNGEN!$F$9:$F$128,"Ja")-G1416))</x:f>
      </x:c>
    </x:row>
    <x:row r="1417" ht="19" customHeight="1">
      <x:c r="A1417" s="90" t="n">
        <x:f>MONATSBUDGET!$A$77</x:f>
        <x:v>48335</x:v>
      </x:c>
      <x:c r="B1417" t="n">
        <x:f>18</x:f>
        <x:v>18</x:v>
      </x:c>
      <x:c r="C1417" t="str">
        <x:f>IF($N$26="","",$N$26)</x:f>
      </x:c>
      <x:c r="D1417" s="88" t="str">
        <x:f>IF(C1417="","",I1397)</x:f>
      </x:c>
      <x:c r="E1417" s="88" t="str">
        <x:f>IF(C1417="","",ROUND(D1417*$P$26/12,2))</x:f>
      </x:c>
      <x:c r="F1417" s="88" t="str">
        <x:f>IF(C1417="","",MIN(D1417+E1417,$Q$26))</x:f>
      </x:c>
      <x:c r="G1417" s="88" t="str">
        <x:f>IF(C1417="","",MIN(MAX(0,D1417+E1417-F1417),SUMIFS(SONDERZAHLUNGEN!$E$9:$E$128,SONDERZAHLUNGEN!$B$9:$B$128,C1417,SONDERZAHLUNGEN!$C$9:$C$128,A1417,SONDERZAHLUNGEN!$H$9:$H$128,"OK",SONDERZAHLUNGEN!$F$9:$F$128,"Ja")))</x:f>
      </x:c>
      <x:c r="H1417" s="88" t="str">
        <x:f>IF(C1417="","",MIN(MAX(0,D1417+E1417-F1417-G1417),MAX(0,IF(MONATSBUDGET!$C$77="",0,MONATSBUDGET!$C$77)-SUM(F1400:F1419)-SUM(H1400:H1416))))</x:f>
      </x:c>
      <x:c r="I1417" s="88" t="str">
        <x:f>IF(C1417="","",MAX(0,ROUND(D1417+E1417-F1417-G1417-H1417,2)))</x:f>
      </x:c>
      <x:c r="J1417" s="88" t="str">
        <x:f>IF(C1417="","",F1417+G1417+H1417)</x:f>
      </x:c>
      <x:c r="K1417" s="88" t="str">
        <x:f>IF(C1417="","",MAX(0,SUMIFS(SONDERZAHLUNGEN!$E$9:$E$128,SONDERZAHLUNGEN!$B$9:$B$128,C1417,SONDERZAHLUNGEN!$C$9:$C$128,A1417,SONDERZAHLUNGEN!$H$9:$H$128,"OK",SONDERZAHLUNGEN!$F$9:$F$128,"Ja")-G1417))</x:f>
      </x:c>
    </x:row>
    <x:row r="1418" ht="19" customHeight="1">
      <x:c r="A1418" s="90" t="n">
        <x:f>MONATSBUDGET!$A$77</x:f>
        <x:v>48335</x:v>
      </x:c>
      <x:c r="B1418" t="n">
        <x:f>19</x:f>
        <x:v>19</x:v>
      </x:c>
      <x:c r="C1418" t="str">
        <x:f>IF($N$27="","",$N$27)</x:f>
      </x:c>
      <x:c r="D1418" s="88" t="str">
        <x:f>IF(C1418="","",I1398)</x:f>
      </x:c>
      <x:c r="E1418" s="88" t="str">
        <x:f>IF(C1418="","",ROUND(D1418*$P$27/12,2))</x:f>
      </x:c>
      <x:c r="F1418" s="88" t="str">
        <x:f>IF(C1418="","",MIN(D1418+E1418,$Q$27))</x:f>
      </x:c>
      <x:c r="G1418" s="88" t="str">
        <x:f>IF(C1418="","",MIN(MAX(0,D1418+E1418-F1418),SUMIFS(SONDERZAHLUNGEN!$E$9:$E$128,SONDERZAHLUNGEN!$B$9:$B$128,C1418,SONDERZAHLUNGEN!$C$9:$C$128,A1418,SONDERZAHLUNGEN!$H$9:$H$128,"OK",SONDERZAHLUNGEN!$F$9:$F$128,"Ja")))</x:f>
      </x:c>
      <x:c r="H1418" s="88" t="str">
        <x:f>IF(C1418="","",MIN(MAX(0,D1418+E1418-F1418-G1418),MAX(0,IF(MONATSBUDGET!$C$77="",0,MONATSBUDGET!$C$77)-SUM(F1400:F1419)-SUM(H1400:H1417))))</x:f>
      </x:c>
      <x:c r="I1418" s="88" t="str">
        <x:f>IF(C1418="","",MAX(0,ROUND(D1418+E1418-F1418-G1418-H1418,2)))</x:f>
      </x:c>
      <x:c r="J1418" s="88" t="str">
        <x:f>IF(C1418="","",F1418+G1418+H1418)</x:f>
      </x:c>
      <x:c r="K1418" s="88" t="str">
        <x:f>IF(C1418="","",MAX(0,SUMIFS(SONDERZAHLUNGEN!$E$9:$E$128,SONDERZAHLUNGEN!$B$9:$B$128,C1418,SONDERZAHLUNGEN!$C$9:$C$128,A1418,SONDERZAHLUNGEN!$H$9:$H$128,"OK",SONDERZAHLUNGEN!$F$9:$F$128,"Ja")-G1418))</x:f>
      </x:c>
    </x:row>
    <x:row r="1419" ht="19" customHeight="1">
      <x:c r="A1419" s="90" t="n">
        <x:f>MONATSBUDGET!$A$77</x:f>
        <x:v>48335</x:v>
      </x:c>
      <x:c r="B1419" t="n">
        <x:f>20</x:f>
        <x:v>20</x:v>
      </x:c>
      <x:c r="C1419" t="str">
        <x:f>IF($N$28="","",$N$28)</x:f>
      </x:c>
      <x:c r="D1419" s="88" t="str">
        <x:f>IF(C1419="","",I1399)</x:f>
      </x:c>
      <x:c r="E1419" s="88" t="str">
        <x:f>IF(C1419="","",ROUND(D1419*$P$28/12,2))</x:f>
      </x:c>
      <x:c r="F1419" s="88" t="str">
        <x:f>IF(C1419="","",MIN(D1419+E1419,$Q$28))</x:f>
      </x:c>
      <x:c r="G1419" s="88" t="str">
        <x:f>IF(C1419="","",MIN(MAX(0,D1419+E1419-F1419),SUMIFS(SONDERZAHLUNGEN!$E$9:$E$128,SONDERZAHLUNGEN!$B$9:$B$128,C1419,SONDERZAHLUNGEN!$C$9:$C$128,A1419,SONDERZAHLUNGEN!$H$9:$H$128,"OK",SONDERZAHLUNGEN!$F$9:$F$128,"Ja")))</x:f>
      </x:c>
      <x:c r="H1419" s="88" t="str">
        <x:f>IF(C1419="","",MIN(MAX(0,D1419+E1419-F1419-G1419),MAX(0,IF(MONATSBUDGET!$C$77="",0,MONATSBUDGET!$C$77)-SUM(F1400:F1419)-SUM(H1400:H1418))))</x:f>
      </x:c>
      <x:c r="I1419" s="88" t="str">
        <x:f>IF(C1419="","",MAX(0,ROUND(D1419+E1419-F1419-G1419-H1419,2)))</x:f>
      </x:c>
      <x:c r="J1419" s="88" t="str">
        <x:f>IF(C1419="","",F1419+G1419+H1419)</x:f>
      </x:c>
      <x:c r="K1419" s="88" t="str">
        <x:f>IF(C1419="","",MAX(0,SUMIFS(SONDERZAHLUNGEN!$E$9:$E$128,SONDERZAHLUNGEN!$B$9:$B$128,C1419,SONDERZAHLUNGEN!$C$9:$C$128,A1419,SONDERZAHLUNGEN!$H$9:$H$128,"OK",SONDERZAHLUNGEN!$F$9:$F$128,"Ja")-G1419))</x:f>
      </x:c>
    </x:row>
    <x:row r="1420" ht="19" customHeight="1">
      <x:c r="A1420" s="90" t="n">
        <x:f>MONATSBUDGET!$A$78</x:f>
        <x:v>48366</x:v>
      </x:c>
      <x:c r="B1420" t="n">
        <x:f>1</x:f>
        <x:v>1</x:v>
      </x:c>
      <x:c r="C1420" t="str">
        <x:f>IF($N$9="","",$N$9)</x:f>
      </x:c>
      <x:c r="D1420" s="88" t="str">
        <x:f>IF(C1420="","",I1400)</x:f>
      </x:c>
      <x:c r="E1420" s="88" t="str">
        <x:f>IF(C1420="","",ROUND(D1420*$P$9/12,2))</x:f>
      </x:c>
      <x:c r="F1420" s="88" t="str">
        <x:f>IF(C1420="","",MIN(D1420+E1420,$Q$9))</x:f>
      </x:c>
      <x:c r="G1420" s="88" t="str">
        <x:f>IF(C1420="","",MIN(MAX(0,D1420+E1420-F1420),SUMIFS(SONDERZAHLUNGEN!$E$9:$E$128,SONDERZAHLUNGEN!$B$9:$B$128,C1420,SONDERZAHLUNGEN!$C$9:$C$128,A1420,SONDERZAHLUNGEN!$H$9:$H$128,"OK",SONDERZAHLUNGEN!$F$9:$F$128,"Ja")))</x:f>
      </x:c>
      <x:c r="H1420" s="88" t="str">
        <x:f>IF(C1420="","",MIN(MAX(0,D1420+E1420-F1420-G1420),MAX(0,IF(MONATSBUDGET!$C$78="",0,MONATSBUDGET!$C$78)-SUM(F1420:F1439)-0)))</x:f>
      </x:c>
      <x:c r="I1420" s="88" t="str">
        <x:f>IF(C1420="","",MAX(0,ROUND(D1420+E1420-F1420-G1420-H1420,2)))</x:f>
      </x:c>
      <x:c r="J1420" s="88" t="str">
        <x:f>IF(C1420="","",F1420+G1420+H1420)</x:f>
      </x:c>
      <x:c r="K1420" s="88" t="str">
        <x:f>IF(C1420="","",MAX(0,SUMIFS(SONDERZAHLUNGEN!$E$9:$E$128,SONDERZAHLUNGEN!$B$9:$B$128,C1420,SONDERZAHLUNGEN!$C$9:$C$128,A1420,SONDERZAHLUNGEN!$H$9:$H$128,"OK",SONDERZAHLUNGEN!$F$9:$F$128,"Ja")-G1420))</x:f>
      </x:c>
    </x:row>
    <x:row r="1421" ht="19" customHeight="1">
      <x:c r="A1421" s="90" t="n">
        <x:f>MONATSBUDGET!$A$78</x:f>
        <x:v>48366</x:v>
      </x:c>
      <x:c r="B1421" t="n">
        <x:f>2</x:f>
        <x:v>2</x:v>
      </x:c>
      <x:c r="C1421" t="str">
        <x:f>IF($N$10="","",$N$10)</x:f>
      </x:c>
      <x:c r="D1421" s="88" t="str">
        <x:f>IF(C1421="","",I1401)</x:f>
      </x:c>
      <x:c r="E1421" s="88" t="str">
        <x:f>IF(C1421="","",ROUND(D1421*$P$10/12,2))</x:f>
      </x:c>
      <x:c r="F1421" s="88" t="str">
        <x:f>IF(C1421="","",MIN(D1421+E1421,$Q$10))</x:f>
      </x:c>
      <x:c r="G1421" s="88" t="str">
        <x:f>IF(C1421="","",MIN(MAX(0,D1421+E1421-F1421),SUMIFS(SONDERZAHLUNGEN!$E$9:$E$128,SONDERZAHLUNGEN!$B$9:$B$128,C1421,SONDERZAHLUNGEN!$C$9:$C$128,A1421,SONDERZAHLUNGEN!$H$9:$H$128,"OK",SONDERZAHLUNGEN!$F$9:$F$128,"Ja")))</x:f>
      </x:c>
      <x:c r="H1421" s="88" t="str">
        <x:f>IF(C1421="","",MIN(MAX(0,D1421+E1421-F1421-G1421),MAX(0,IF(MONATSBUDGET!$C$78="",0,MONATSBUDGET!$C$78)-SUM(F1420:F1439)-SUM(H1420:H1420))))</x:f>
      </x:c>
      <x:c r="I1421" s="88" t="str">
        <x:f>IF(C1421="","",MAX(0,ROUND(D1421+E1421-F1421-G1421-H1421,2)))</x:f>
      </x:c>
      <x:c r="J1421" s="88" t="str">
        <x:f>IF(C1421="","",F1421+G1421+H1421)</x:f>
      </x:c>
      <x:c r="K1421" s="88" t="str">
        <x:f>IF(C1421="","",MAX(0,SUMIFS(SONDERZAHLUNGEN!$E$9:$E$128,SONDERZAHLUNGEN!$B$9:$B$128,C1421,SONDERZAHLUNGEN!$C$9:$C$128,A1421,SONDERZAHLUNGEN!$H$9:$H$128,"OK",SONDERZAHLUNGEN!$F$9:$F$128,"Ja")-G1421))</x:f>
      </x:c>
    </x:row>
    <x:row r="1422" ht="19" customHeight="1">
      <x:c r="A1422" s="90" t="n">
        <x:f>MONATSBUDGET!$A$78</x:f>
        <x:v>48366</x:v>
      </x:c>
      <x:c r="B1422" t="n">
        <x:f>3</x:f>
        <x:v>3</x:v>
      </x:c>
      <x:c r="C1422" t="str">
        <x:f>IF($N$11="","",$N$11)</x:f>
      </x:c>
      <x:c r="D1422" s="88" t="str">
        <x:f>IF(C1422="","",I1402)</x:f>
      </x:c>
      <x:c r="E1422" s="88" t="str">
        <x:f>IF(C1422="","",ROUND(D1422*$P$11/12,2))</x:f>
      </x:c>
      <x:c r="F1422" s="88" t="str">
        <x:f>IF(C1422="","",MIN(D1422+E1422,$Q$11))</x:f>
      </x:c>
      <x:c r="G1422" s="88" t="str">
        <x:f>IF(C1422="","",MIN(MAX(0,D1422+E1422-F1422),SUMIFS(SONDERZAHLUNGEN!$E$9:$E$128,SONDERZAHLUNGEN!$B$9:$B$128,C1422,SONDERZAHLUNGEN!$C$9:$C$128,A1422,SONDERZAHLUNGEN!$H$9:$H$128,"OK",SONDERZAHLUNGEN!$F$9:$F$128,"Ja")))</x:f>
      </x:c>
      <x:c r="H1422" s="88" t="str">
        <x:f>IF(C1422="","",MIN(MAX(0,D1422+E1422-F1422-G1422),MAX(0,IF(MONATSBUDGET!$C$78="",0,MONATSBUDGET!$C$78)-SUM(F1420:F1439)-SUM(H1420:H1421))))</x:f>
      </x:c>
      <x:c r="I1422" s="88" t="str">
        <x:f>IF(C1422="","",MAX(0,ROUND(D1422+E1422-F1422-G1422-H1422,2)))</x:f>
      </x:c>
      <x:c r="J1422" s="88" t="str">
        <x:f>IF(C1422="","",F1422+G1422+H1422)</x:f>
      </x:c>
      <x:c r="K1422" s="88" t="str">
        <x:f>IF(C1422="","",MAX(0,SUMIFS(SONDERZAHLUNGEN!$E$9:$E$128,SONDERZAHLUNGEN!$B$9:$B$128,C1422,SONDERZAHLUNGEN!$C$9:$C$128,A1422,SONDERZAHLUNGEN!$H$9:$H$128,"OK",SONDERZAHLUNGEN!$F$9:$F$128,"Ja")-G1422))</x:f>
      </x:c>
    </x:row>
    <x:row r="1423" ht="19" customHeight="1">
      <x:c r="A1423" s="90" t="n">
        <x:f>MONATSBUDGET!$A$78</x:f>
        <x:v>48366</x:v>
      </x:c>
      <x:c r="B1423" t="n">
        <x:f>4</x:f>
        <x:v>4</x:v>
      </x:c>
      <x:c r="C1423" t="str">
        <x:f>IF($N$12="","",$N$12)</x:f>
      </x:c>
      <x:c r="D1423" s="88" t="str">
        <x:f>IF(C1423="","",I1403)</x:f>
      </x:c>
      <x:c r="E1423" s="88" t="str">
        <x:f>IF(C1423="","",ROUND(D1423*$P$12/12,2))</x:f>
      </x:c>
      <x:c r="F1423" s="88" t="str">
        <x:f>IF(C1423="","",MIN(D1423+E1423,$Q$12))</x:f>
      </x:c>
      <x:c r="G1423" s="88" t="str">
        <x:f>IF(C1423="","",MIN(MAX(0,D1423+E1423-F1423),SUMIFS(SONDERZAHLUNGEN!$E$9:$E$128,SONDERZAHLUNGEN!$B$9:$B$128,C1423,SONDERZAHLUNGEN!$C$9:$C$128,A1423,SONDERZAHLUNGEN!$H$9:$H$128,"OK",SONDERZAHLUNGEN!$F$9:$F$128,"Ja")))</x:f>
      </x:c>
      <x:c r="H1423" s="88" t="str">
        <x:f>IF(C1423="","",MIN(MAX(0,D1423+E1423-F1423-G1423),MAX(0,IF(MONATSBUDGET!$C$78="",0,MONATSBUDGET!$C$78)-SUM(F1420:F1439)-SUM(H1420:H1422))))</x:f>
      </x:c>
      <x:c r="I1423" s="88" t="str">
        <x:f>IF(C1423="","",MAX(0,ROUND(D1423+E1423-F1423-G1423-H1423,2)))</x:f>
      </x:c>
      <x:c r="J1423" s="88" t="str">
        <x:f>IF(C1423="","",F1423+G1423+H1423)</x:f>
      </x:c>
      <x:c r="K1423" s="88" t="str">
        <x:f>IF(C1423="","",MAX(0,SUMIFS(SONDERZAHLUNGEN!$E$9:$E$128,SONDERZAHLUNGEN!$B$9:$B$128,C1423,SONDERZAHLUNGEN!$C$9:$C$128,A1423,SONDERZAHLUNGEN!$H$9:$H$128,"OK",SONDERZAHLUNGEN!$F$9:$F$128,"Ja")-G1423))</x:f>
      </x:c>
    </x:row>
    <x:row r="1424" ht="19" customHeight="1">
      <x:c r="A1424" s="90" t="n">
        <x:f>MONATSBUDGET!$A$78</x:f>
        <x:v>48366</x:v>
      </x:c>
      <x:c r="B1424" t="n">
        <x:f>5</x:f>
        <x:v>5</x:v>
      </x:c>
      <x:c r="C1424" t="str">
        <x:f>IF($N$13="","",$N$13)</x:f>
      </x:c>
      <x:c r="D1424" s="88" t="str">
        <x:f>IF(C1424="","",I1404)</x:f>
      </x:c>
      <x:c r="E1424" s="88" t="str">
        <x:f>IF(C1424="","",ROUND(D1424*$P$13/12,2))</x:f>
      </x:c>
      <x:c r="F1424" s="88" t="str">
        <x:f>IF(C1424="","",MIN(D1424+E1424,$Q$13))</x:f>
      </x:c>
      <x:c r="G1424" s="88" t="str">
        <x:f>IF(C1424="","",MIN(MAX(0,D1424+E1424-F1424),SUMIFS(SONDERZAHLUNGEN!$E$9:$E$128,SONDERZAHLUNGEN!$B$9:$B$128,C1424,SONDERZAHLUNGEN!$C$9:$C$128,A1424,SONDERZAHLUNGEN!$H$9:$H$128,"OK",SONDERZAHLUNGEN!$F$9:$F$128,"Ja")))</x:f>
      </x:c>
      <x:c r="H1424" s="88" t="str">
        <x:f>IF(C1424="","",MIN(MAX(0,D1424+E1424-F1424-G1424),MAX(0,IF(MONATSBUDGET!$C$78="",0,MONATSBUDGET!$C$78)-SUM(F1420:F1439)-SUM(H1420:H1423))))</x:f>
      </x:c>
      <x:c r="I1424" s="88" t="str">
        <x:f>IF(C1424="","",MAX(0,ROUND(D1424+E1424-F1424-G1424-H1424,2)))</x:f>
      </x:c>
      <x:c r="J1424" s="88" t="str">
        <x:f>IF(C1424="","",F1424+G1424+H1424)</x:f>
      </x:c>
      <x:c r="K1424" s="88" t="str">
        <x:f>IF(C1424="","",MAX(0,SUMIFS(SONDERZAHLUNGEN!$E$9:$E$128,SONDERZAHLUNGEN!$B$9:$B$128,C1424,SONDERZAHLUNGEN!$C$9:$C$128,A1424,SONDERZAHLUNGEN!$H$9:$H$128,"OK",SONDERZAHLUNGEN!$F$9:$F$128,"Ja")-G1424))</x:f>
      </x:c>
    </x:row>
    <x:row r="1425" ht="19" customHeight="1">
      <x:c r="A1425" s="90" t="n">
        <x:f>MONATSBUDGET!$A$78</x:f>
        <x:v>48366</x:v>
      </x:c>
      <x:c r="B1425" t="n">
        <x:f>6</x:f>
        <x:v>6</x:v>
      </x:c>
      <x:c r="C1425" t="str">
        <x:f>IF($N$14="","",$N$14)</x:f>
      </x:c>
      <x:c r="D1425" s="88" t="str">
        <x:f>IF(C1425="","",I1405)</x:f>
      </x:c>
      <x:c r="E1425" s="88" t="str">
        <x:f>IF(C1425="","",ROUND(D1425*$P$14/12,2))</x:f>
      </x:c>
      <x:c r="F1425" s="88" t="str">
        <x:f>IF(C1425="","",MIN(D1425+E1425,$Q$14))</x:f>
      </x:c>
      <x:c r="G1425" s="88" t="str">
        <x:f>IF(C1425="","",MIN(MAX(0,D1425+E1425-F1425),SUMIFS(SONDERZAHLUNGEN!$E$9:$E$128,SONDERZAHLUNGEN!$B$9:$B$128,C1425,SONDERZAHLUNGEN!$C$9:$C$128,A1425,SONDERZAHLUNGEN!$H$9:$H$128,"OK",SONDERZAHLUNGEN!$F$9:$F$128,"Ja")))</x:f>
      </x:c>
      <x:c r="H1425" s="88" t="str">
        <x:f>IF(C1425="","",MIN(MAX(0,D1425+E1425-F1425-G1425),MAX(0,IF(MONATSBUDGET!$C$78="",0,MONATSBUDGET!$C$78)-SUM(F1420:F1439)-SUM(H1420:H1424))))</x:f>
      </x:c>
      <x:c r="I1425" s="88" t="str">
        <x:f>IF(C1425="","",MAX(0,ROUND(D1425+E1425-F1425-G1425-H1425,2)))</x:f>
      </x:c>
      <x:c r="J1425" s="88" t="str">
        <x:f>IF(C1425="","",F1425+G1425+H1425)</x:f>
      </x:c>
      <x:c r="K1425" s="88" t="str">
        <x:f>IF(C1425="","",MAX(0,SUMIFS(SONDERZAHLUNGEN!$E$9:$E$128,SONDERZAHLUNGEN!$B$9:$B$128,C1425,SONDERZAHLUNGEN!$C$9:$C$128,A1425,SONDERZAHLUNGEN!$H$9:$H$128,"OK",SONDERZAHLUNGEN!$F$9:$F$128,"Ja")-G1425))</x:f>
      </x:c>
    </x:row>
    <x:row r="1426" ht="19" customHeight="1">
      <x:c r="A1426" s="90" t="n">
        <x:f>MONATSBUDGET!$A$78</x:f>
        <x:v>48366</x:v>
      </x:c>
      <x:c r="B1426" t="n">
        <x:f>7</x:f>
        <x:v>7</x:v>
      </x:c>
      <x:c r="C1426" t="str">
        <x:f>IF($N$15="","",$N$15)</x:f>
      </x:c>
      <x:c r="D1426" s="88" t="str">
        <x:f>IF(C1426="","",I1406)</x:f>
      </x:c>
      <x:c r="E1426" s="88" t="str">
        <x:f>IF(C1426="","",ROUND(D1426*$P$15/12,2))</x:f>
      </x:c>
      <x:c r="F1426" s="88" t="str">
        <x:f>IF(C1426="","",MIN(D1426+E1426,$Q$15))</x:f>
      </x:c>
      <x:c r="G1426" s="88" t="str">
        <x:f>IF(C1426="","",MIN(MAX(0,D1426+E1426-F1426),SUMIFS(SONDERZAHLUNGEN!$E$9:$E$128,SONDERZAHLUNGEN!$B$9:$B$128,C1426,SONDERZAHLUNGEN!$C$9:$C$128,A1426,SONDERZAHLUNGEN!$H$9:$H$128,"OK",SONDERZAHLUNGEN!$F$9:$F$128,"Ja")))</x:f>
      </x:c>
      <x:c r="H1426" s="88" t="str">
        <x:f>IF(C1426="","",MIN(MAX(0,D1426+E1426-F1426-G1426),MAX(0,IF(MONATSBUDGET!$C$78="",0,MONATSBUDGET!$C$78)-SUM(F1420:F1439)-SUM(H1420:H1425))))</x:f>
      </x:c>
      <x:c r="I1426" s="88" t="str">
        <x:f>IF(C1426="","",MAX(0,ROUND(D1426+E1426-F1426-G1426-H1426,2)))</x:f>
      </x:c>
      <x:c r="J1426" s="88" t="str">
        <x:f>IF(C1426="","",F1426+G1426+H1426)</x:f>
      </x:c>
      <x:c r="K1426" s="88" t="str">
        <x:f>IF(C1426="","",MAX(0,SUMIFS(SONDERZAHLUNGEN!$E$9:$E$128,SONDERZAHLUNGEN!$B$9:$B$128,C1426,SONDERZAHLUNGEN!$C$9:$C$128,A1426,SONDERZAHLUNGEN!$H$9:$H$128,"OK",SONDERZAHLUNGEN!$F$9:$F$128,"Ja")-G1426))</x:f>
      </x:c>
    </x:row>
    <x:row r="1427" ht="19" customHeight="1">
      <x:c r="A1427" s="90" t="n">
        <x:f>MONATSBUDGET!$A$78</x:f>
        <x:v>48366</x:v>
      </x:c>
      <x:c r="B1427" t="n">
        <x:f>8</x:f>
        <x:v>8</x:v>
      </x:c>
      <x:c r="C1427" t="str">
        <x:f>IF($N$16="","",$N$16)</x:f>
      </x:c>
      <x:c r="D1427" s="88" t="str">
        <x:f>IF(C1427="","",I1407)</x:f>
      </x:c>
      <x:c r="E1427" s="88" t="str">
        <x:f>IF(C1427="","",ROUND(D1427*$P$16/12,2))</x:f>
      </x:c>
      <x:c r="F1427" s="88" t="str">
        <x:f>IF(C1427="","",MIN(D1427+E1427,$Q$16))</x:f>
      </x:c>
      <x:c r="G1427" s="88" t="str">
        <x:f>IF(C1427="","",MIN(MAX(0,D1427+E1427-F1427),SUMIFS(SONDERZAHLUNGEN!$E$9:$E$128,SONDERZAHLUNGEN!$B$9:$B$128,C1427,SONDERZAHLUNGEN!$C$9:$C$128,A1427,SONDERZAHLUNGEN!$H$9:$H$128,"OK",SONDERZAHLUNGEN!$F$9:$F$128,"Ja")))</x:f>
      </x:c>
      <x:c r="H1427" s="88" t="str">
        <x:f>IF(C1427="","",MIN(MAX(0,D1427+E1427-F1427-G1427),MAX(0,IF(MONATSBUDGET!$C$78="",0,MONATSBUDGET!$C$78)-SUM(F1420:F1439)-SUM(H1420:H1426))))</x:f>
      </x:c>
      <x:c r="I1427" s="88" t="str">
        <x:f>IF(C1427="","",MAX(0,ROUND(D1427+E1427-F1427-G1427-H1427,2)))</x:f>
      </x:c>
      <x:c r="J1427" s="88" t="str">
        <x:f>IF(C1427="","",F1427+G1427+H1427)</x:f>
      </x:c>
      <x:c r="K1427" s="88" t="str">
        <x:f>IF(C1427="","",MAX(0,SUMIFS(SONDERZAHLUNGEN!$E$9:$E$128,SONDERZAHLUNGEN!$B$9:$B$128,C1427,SONDERZAHLUNGEN!$C$9:$C$128,A1427,SONDERZAHLUNGEN!$H$9:$H$128,"OK",SONDERZAHLUNGEN!$F$9:$F$128,"Ja")-G1427))</x:f>
      </x:c>
    </x:row>
    <x:row r="1428" ht="19" customHeight="1">
      <x:c r="A1428" s="90" t="n">
        <x:f>MONATSBUDGET!$A$78</x:f>
        <x:v>48366</x:v>
      </x:c>
      <x:c r="B1428" t="n">
        <x:f>9</x:f>
        <x:v>9</x:v>
      </x:c>
      <x:c r="C1428" t="str">
        <x:f>IF($N$17="","",$N$17)</x:f>
      </x:c>
      <x:c r="D1428" s="88" t="str">
        <x:f>IF(C1428="","",I1408)</x:f>
      </x:c>
      <x:c r="E1428" s="88" t="str">
        <x:f>IF(C1428="","",ROUND(D1428*$P$17/12,2))</x:f>
      </x:c>
      <x:c r="F1428" s="88" t="str">
        <x:f>IF(C1428="","",MIN(D1428+E1428,$Q$17))</x:f>
      </x:c>
      <x:c r="G1428" s="88" t="str">
        <x:f>IF(C1428="","",MIN(MAX(0,D1428+E1428-F1428),SUMIFS(SONDERZAHLUNGEN!$E$9:$E$128,SONDERZAHLUNGEN!$B$9:$B$128,C1428,SONDERZAHLUNGEN!$C$9:$C$128,A1428,SONDERZAHLUNGEN!$H$9:$H$128,"OK",SONDERZAHLUNGEN!$F$9:$F$128,"Ja")))</x:f>
      </x:c>
      <x:c r="H1428" s="88" t="str">
        <x:f>IF(C1428="","",MIN(MAX(0,D1428+E1428-F1428-G1428),MAX(0,IF(MONATSBUDGET!$C$78="",0,MONATSBUDGET!$C$78)-SUM(F1420:F1439)-SUM(H1420:H1427))))</x:f>
      </x:c>
      <x:c r="I1428" s="88" t="str">
        <x:f>IF(C1428="","",MAX(0,ROUND(D1428+E1428-F1428-G1428-H1428,2)))</x:f>
      </x:c>
      <x:c r="J1428" s="88" t="str">
        <x:f>IF(C1428="","",F1428+G1428+H1428)</x:f>
      </x:c>
      <x:c r="K1428" s="88" t="str">
        <x:f>IF(C1428="","",MAX(0,SUMIFS(SONDERZAHLUNGEN!$E$9:$E$128,SONDERZAHLUNGEN!$B$9:$B$128,C1428,SONDERZAHLUNGEN!$C$9:$C$128,A1428,SONDERZAHLUNGEN!$H$9:$H$128,"OK",SONDERZAHLUNGEN!$F$9:$F$128,"Ja")-G1428))</x:f>
      </x:c>
    </x:row>
    <x:row r="1429" ht="19" customHeight="1">
      <x:c r="A1429" s="90" t="n">
        <x:f>MONATSBUDGET!$A$78</x:f>
        <x:v>48366</x:v>
      </x:c>
      <x:c r="B1429" t="n">
        <x:f>10</x:f>
        <x:v>10</x:v>
      </x:c>
      <x:c r="C1429" t="str">
        <x:f>IF($N$18="","",$N$18)</x:f>
      </x:c>
      <x:c r="D1429" s="88" t="str">
        <x:f>IF(C1429="","",I1409)</x:f>
      </x:c>
      <x:c r="E1429" s="88" t="str">
        <x:f>IF(C1429="","",ROUND(D1429*$P$18/12,2))</x:f>
      </x:c>
      <x:c r="F1429" s="88" t="str">
        <x:f>IF(C1429="","",MIN(D1429+E1429,$Q$18))</x:f>
      </x:c>
      <x:c r="G1429" s="88" t="str">
        <x:f>IF(C1429="","",MIN(MAX(0,D1429+E1429-F1429),SUMIFS(SONDERZAHLUNGEN!$E$9:$E$128,SONDERZAHLUNGEN!$B$9:$B$128,C1429,SONDERZAHLUNGEN!$C$9:$C$128,A1429,SONDERZAHLUNGEN!$H$9:$H$128,"OK",SONDERZAHLUNGEN!$F$9:$F$128,"Ja")))</x:f>
      </x:c>
      <x:c r="H1429" s="88" t="str">
        <x:f>IF(C1429="","",MIN(MAX(0,D1429+E1429-F1429-G1429),MAX(0,IF(MONATSBUDGET!$C$78="",0,MONATSBUDGET!$C$78)-SUM(F1420:F1439)-SUM(H1420:H1428))))</x:f>
      </x:c>
      <x:c r="I1429" s="88" t="str">
        <x:f>IF(C1429="","",MAX(0,ROUND(D1429+E1429-F1429-G1429-H1429,2)))</x:f>
      </x:c>
      <x:c r="J1429" s="88" t="str">
        <x:f>IF(C1429="","",F1429+G1429+H1429)</x:f>
      </x:c>
      <x:c r="K1429" s="88" t="str">
        <x:f>IF(C1429="","",MAX(0,SUMIFS(SONDERZAHLUNGEN!$E$9:$E$128,SONDERZAHLUNGEN!$B$9:$B$128,C1429,SONDERZAHLUNGEN!$C$9:$C$128,A1429,SONDERZAHLUNGEN!$H$9:$H$128,"OK",SONDERZAHLUNGEN!$F$9:$F$128,"Ja")-G1429))</x:f>
      </x:c>
    </x:row>
    <x:row r="1430" ht="19" customHeight="1">
      <x:c r="A1430" s="90" t="n">
        <x:f>MONATSBUDGET!$A$78</x:f>
        <x:v>48366</x:v>
      </x:c>
      <x:c r="B1430" t="n">
        <x:f>11</x:f>
        <x:v>11</x:v>
      </x:c>
      <x:c r="C1430" t="str">
        <x:f>IF($N$19="","",$N$19)</x:f>
      </x:c>
      <x:c r="D1430" s="88" t="str">
        <x:f>IF(C1430="","",I1410)</x:f>
      </x:c>
      <x:c r="E1430" s="88" t="str">
        <x:f>IF(C1430="","",ROUND(D1430*$P$19/12,2))</x:f>
      </x:c>
      <x:c r="F1430" s="88" t="str">
        <x:f>IF(C1430="","",MIN(D1430+E1430,$Q$19))</x:f>
      </x:c>
      <x:c r="G1430" s="88" t="str">
        <x:f>IF(C1430="","",MIN(MAX(0,D1430+E1430-F1430),SUMIFS(SONDERZAHLUNGEN!$E$9:$E$128,SONDERZAHLUNGEN!$B$9:$B$128,C1430,SONDERZAHLUNGEN!$C$9:$C$128,A1430,SONDERZAHLUNGEN!$H$9:$H$128,"OK",SONDERZAHLUNGEN!$F$9:$F$128,"Ja")))</x:f>
      </x:c>
      <x:c r="H1430" s="88" t="str">
        <x:f>IF(C1430="","",MIN(MAX(0,D1430+E1430-F1430-G1430),MAX(0,IF(MONATSBUDGET!$C$78="",0,MONATSBUDGET!$C$78)-SUM(F1420:F1439)-SUM(H1420:H1429))))</x:f>
      </x:c>
      <x:c r="I1430" s="88" t="str">
        <x:f>IF(C1430="","",MAX(0,ROUND(D1430+E1430-F1430-G1430-H1430,2)))</x:f>
      </x:c>
      <x:c r="J1430" s="88" t="str">
        <x:f>IF(C1430="","",F1430+G1430+H1430)</x:f>
      </x:c>
      <x:c r="K1430" s="88" t="str">
        <x:f>IF(C1430="","",MAX(0,SUMIFS(SONDERZAHLUNGEN!$E$9:$E$128,SONDERZAHLUNGEN!$B$9:$B$128,C1430,SONDERZAHLUNGEN!$C$9:$C$128,A1430,SONDERZAHLUNGEN!$H$9:$H$128,"OK",SONDERZAHLUNGEN!$F$9:$F$128,"Ja")-G1430))</x:f>
      </x:c>
    </x:row>
    <x:row r="1431" ht="19" customHeight="1">
      <x:c r="A1431" s="90" t="n">
        <x:f>MONATSBUDGET!$A$78</x:f>
        <x:v>48366</x:v>
      </x:c>
      <x:c r="B1431" t="n">
        <x:f>12</x:f>
        <x:v>12</x:v>
      </x:c>
      <x:c r="C1431" t="str">
        <x:f>IF($N$20="","",$N$20)</x:f>
      </x:c>
      <x:c r="D1431" s="88" t="str">
        <x:f>IF(C1431="","",I1411)</x:f>
      </x:c>
      <x:c r="E1431" s="88" t="str">
        <x:f>IF(C1431="","",ROUND(D1431*$P$20/12,2))</x:f>
      </x:c>
      <x:c r="F1431" s="88" t="str">
        <x:f>IF(C1431="","",MIN(D1431+E1431,$Q$20))</x:f>
      </x:c>
      <x:c r="G1431" s="88" t="str">
        <x:f>IF(C1431="","",MIN(MAX(0,D1431+E1431-F1431),SUMIFS(SONDERZAHLUNGEN!$E$9:$E$128,SONDERZAHLUNGEN!$B$9:$B$128,C1431,SONDERZAHLUNGEN!$C$9:$C$128,A1431,SONDERZAHLUNGEN!$H$9:$H$128,"OK",SONDERZAHLUNGEN!$F$9:$F$128,"Ja")))</x:f>
      </x:c>
      <x:c r="H1431" s="88" t="str">
        <x:f>IF(C1431="","",MIN(MAX(0,D1431+E1431-F1431-G1431),MAX(0,IF(MONATSBUDGET!$C$78="",0,MONATSBUDGET!$C$78)-SUM(F1420:F1439)-SUM(H1420:H1430))))</x:f>
      </x:c>
      <x:c r="I1431" s="88" t="str">
        <x:f>IF(C1431="","",MAX(0,ROUND(D1431+E1431-F1431-G1431-H1431,2)))</x:f>
      </x:c>
      <x:c r="J1431" s="88" t="str">
        <x:f>IF(C1431="","",F1431+G1431+H1431)</x:f>
      </x:c>
      <x:c r="K1431" s="88" t="str">
        <x:f>IF(C1431="","",MAX(0,SUMIFS(SONDERZAHLUNGEN!$E$9:$E$128,SONDERZAHLUNGEN!$B$9:$B$128,C1431,SONDERZAHLUNGEN!$C$9:$C$128,A1431,SONDERZAHLUNGEN!$H$9:$H$128,"OK",SONDERZAHLUNGEN!$F$9:$F$128,"Ja")-G1431))</x:f>
      </x:c>
    </x:row>
    <x:row r="1432" ht="19" customHeight="1">
      <x:c r="A1432" s="90" t="n">
        <x:f>MONATSBUDGET!$A$78</x:f>
        <x:v>48366</x:v>
      </x:c>
      <x:c r="B1432" t="n">
        <x:f>13</x:f>
        <x:v>13</x:v>
      </x:c>
      <x:c r="C1432" t="str">
        <x:f>IF($N$21="","",$N$21)</x:f>
      </x:c>
      <x:c r="D1432" s="88" t="str">
        <x:f>IF(C1432="","",I1412)</x:f>
      </x:c>
      <x:c r="E1432" s="88" t="str">
        <x:f>IF(C1432="","",ROUND(D1432*$P$21/12,2))</x:f>
      </x:c>
      <x:c r="F1432" s="88" t="str">
        <x:f>IF(C1432="","",MIN(D1432+E1432,$Q$21))</x:f>
      </x:c>
      <x:c r="G1432" s="88" t="str">
        <x:f>IF(C1432="","",MIN(MAX(0,D1432+E1432-F1432),SUMIFS(SONDERZAHLUNGEN!$E$9:$E$128,SONDERZAHLUNGEN!$B$9:$B$128,C1432,SONDERZAHLUNGEN!$C$9:$C$128,A1432,SONDERZAHLUNGEN!$H$9:$H$128,"OK",SONDERZAHLUNGEN!$F$9:$F$128,"Ja")))</x:f>
      </x:c>
      <x:c r="H1432" s="88" t="str">
        <x:f>IF(C1432="","",MIN(MAX(0,D1432+E1432-F1432-G1432),MAX(0,IF(MONATSBUDGET!$C$78="",0,MONATSBUDGET!$C$78)-SUM(F1420:F1439)-SUM(H1420:H1431))))</x:f>
      </x:c>
      <x:c r="I1432" s="88" t="str">
        <x:f>IF(C1432="","",MAX(0,ROUND(D1432+E1432-F1432-G1432-H1432,2)))</x:f>
      </x:c>
      <x:c r="J1432" s="88" t="str">
        <x:f>IF(C1432="","",F1432+G1432+H1432)</x:f>
      </x:c>
      <x:c r="K1432" s="88" t="str">
        <x:f>IF(C1432="","",MAX(0,SUMIFS(SONDERZAHLUNGEN!$E$9:$E$128,SONDERZAHLUNGEN!$B$9:$B$128,C1432,SONDERZAHLUNGEN!$C$9:$C$128,A1432,SONDERZAHLUNGEN!$H$9:$H$128,"OK",SONDERZAHLUNGEN!$F$9:$F$128,"Ja")-G1432))</x:f>
      </x:c>
    </x:row>
    <x:row r="1433" ht="19" customHeight="1">
      <x:c r="A1433" s="90" t="n">
        <x:f>MONATSBUDGET!$A$78</x:f>
        <x:v>48366</x:v>
      </x:c>
      <x:c r="B1433" t="n">
        <x:f>14</x:f>
        <x:v>14</x:v>
      </x:c>
      <x:c r="C1433" t="str">
        <x:f>IF($N$22="","",$N$22)</x:f>
      </x:c>
      <x:c r="D1433" s="88" t="str">
        <x:f>IF(C1433="","",I1413)</x:f>
      </x:c>
      <x:c r="E1433" s="88" t="str">
        <x:f>IF(C1433="","",ROUND(D1433*$P$22/12,2))</x:f>
      </x:c>
      <x:c r="F1433" s="88" t="str">
        <x:f>IF(C1433="","",MIN(D1433+E1433,$Q$22))</x:f>
      </x:c>
      <x:c r="G1433" s="88" t="str">
        <x:f>IF(C1433="","",MIN(MAX(0,D1433+E1433-F1433),SUMIFS(SONDERZAHLUNGEN!$E$9:$E$128,SONDERZAHLUNGEN!$B$9:$B$128,C1433,SONDERZAHLUNGEN!$C$9:$C$128,A1433,SONDERZAHLUNGEN!$H$9:$H$128,"OK",SONDERZAHLUNGEN!$F$9:$F$128,"Ja")))</x:f>
      </x:c>
      <x:c r="H1433" s="88" t="str">
        <x:f>IF(C1433="","",MIN(MAX(0,D1433+E1433-F1433-G1433),MAX(0,IF(MONATSBUDGET!$C$78="",0,MONATSBUDGET!$C$78)-SUM(F1420:F1439)-SUM(H1420:H1432))))</x:f>
      </x:c>
      <x:c r="I1433" s="88" t="str">
        <x:f>IF(C1433="","",MAX(0,ROUND(D1433+E1433-F1433-G1433-H1433,2)))</x:f>
      </x:c>
      <x:c r="J1433" s="88" t="str">
        <x:f>IF(C1433="","",F1433+G1433+H1433)</x:f>
      </x:c>
      <x:c r="K1433" s="88" t="str">
        <x:f>IF(C1433="","",MAX(0,SUMIFS(SONDERZAHLUNGEN!$E$9:$E$128,SONDERZAHLUNGEN!$B$9:$B$128,C1433,SONDERZAHLUNGEN!$C$9:$C$128,A1433,SONDERZAHLUNGEN!$H$9:$H$128,"OK",SONDERZAHLUNGEN!$F$9:$F$128,"Ja")-G1433))</x:f>
      </x:c>
    </x:row>
    <x:row r="1434" ht="19" customHeight="1">
      <x:c r="A1434" s="90" t="n">
        <x:f>MONATSBUDGET!$A$78</x:f>
        <x:v>48366</x:v>
      </x:c>
      <x:c r="B1434" t="n">
        <x:f>15</x:f>
        <x:v>15</x:v>
      </x:c>
      <x:c r="C1434" t="str">
        <x:f>IF($N$23="","",$N$23)</x:f>
      </x:c>
      <x:c r="D1434" s="88" t="str">
        <x:f>IF(C1434="","",I1414)</x:f>
      </x:c>
      <x:c r="E1434" s="88" t="str">
        <x:f>IF(C1434="","",ROUND(D1434*$P$23/12,2))</x:f>
      </x:c>
      <x:c r="F1434" s="88" t="str">
        <x:f>IF(C1434="","",MIN(D1434+E1434,$Q$23))</x:f>
      </x:c>
      <x:c r="G1434" s="88" t="str">
        <x:f>IF(C1434="","",MIN(MAX(0,D1434+E1434-F1434),SUMIFS(SONDERZAHLUNGEN!$E$9:$E$128,SONDERZAHLUNGEN!$B$9:$B$128,C1434,SONDERZAHLUNGEN!$C$9:$C$128,A1434,SONDERZAHLUNGEN!$H$9:$H$128,"OK",SONDERZAHLUNGEN!$F$9:$F$128,"Ja")))</x:f>
      </x:c>
      <x:c r="H1434" s="88" t="str">
        <x:f>IF(C1434="","",MIN(MAX(0,D1434+E1434-F1434-G1434),MAX(0,IF(MONATSBUDGET!$C$78="",0,MONATSBUDGET!$C$78)-SUM(F1420:F1439)-SUM(H1420:H1433))))</x:f>
      </x:c>
      <x:c r="I1434" s="88" t="str">
        <x:f>IF(C1434="","",MAX(0,ROUND(D1434+E1434-F1434-G1434-H1434,2)))</x:f>
      </x:c>
      <x:c r="J1434" s="88" t="str">
        <x:f>IF(C1434="","",F1434+G1434+H1434)</x:f>
      </x:c>
      <x:c r="K1434" s="88" t="str">
        <x:f>IF(C1434="","",MAX(0,SUMIFS(SONDERZAHLUNGEN!$E$9:$E$128,SONDERZAHLUNGEN!$B$9:$B$128,C1434,SONDERZAHLUNGEN!$C$9:$C$128,A1434,SONDERZAHLUNGEN!$H$9:$H$128,"OK",SONDERZAHLUNGEN!$F$9:$F$128,"Ja")-G1434))</x:f>
      </x:c>
    </x:row>
    <x:row r="1435" ht="19" customHeight="1">
      <x:c r="A1435" s="90" t="n">
        <x:f>MONATSBUDGET!$A$78</x:f>
        <x:v>48366</x:v>
      </x:c>
      <x:c r="B1435" t="n">
        <x:f>16</x:f>
        <x:v>16</x:v>
      </x:c>
      <x:c r="C1435" t="str">
        <x:f>IF($N$24="","",$N$24)</x:f>
      </x:c>
      <x:c r="D1435" s="88" t="str">
        <x:f>IF(C1435="","",I1415)</x:f>
      </x:c>
      <x:c r="E1435" s="88" t="str">
        <x:f>IF(C1435="","",ROUND(D1435*$P$24/12,2))</x:f>
      </x:c>
      <x:c r="F1435" s="88" t="str">
        <x:f>IF(C1435="","",MIN(D1435+E1435,$Q$24))</x:f>
      </x:c>
      <x:c r="G1435" s="88" t="str">
        <x:f>IF(C1435="","",MIN(MAX(0,D1435+E1435-F1435),SUMIFS(SONDERZAHLUNGEN!$E$9:$E$128,SONDERZAHLUNGEN!$B$9:$B$128,C1435,SONDERZAHLUNGEN!$C$9:$C$128,A1435,SONDERZAHLUNGEN!$H$9:$H$128,"OK",SONDERZAHLUNGEN!$F$9:$F$128,"Ja")))</x:f>
      </x:c>
      <x:c r="H1435" s="88" t="str">
        <x:f>IF(C1435="","",MIN(MAX(0,D1435+E1435-F1435-G1435),MAX(0,IF(MONATSBUDGET!$C$78="",0,MONATSBUDGET!$C$78)-SUM(F1420:F1439)-SUM(H1420:H1434))))</x:f>
      </x:c>
      <x:c r="I1435" s="88" t="str">
        <x:f>IF(C1435="","",MAX(0,ROUND(D1435+E1435-F1435-G1435-H1435,2)))</x:f>
      </x:c>
      <x:c r="J1435" s="88" t="str">
        <x:f>IF(C1435="","",F1435+G1435+H1435)</x:f>
      </x:c>
      <x:c r="K1435" s="88" t="str">
        <x:f>IF(C1435="","",MAX(0,SUMIFS(SONDERZAHLUNGEN!$E$9:$E$128,SONDERZAHLUNGEN!$B$9:$B$128,C1435,SONDERZAHLUNGEN!$C$9:$C$128,A1435,SONDERZAHLUNGEN!$H$9:$H$128,"OK",SONDERZAHLUNGEN!$F$9:$F$128,"Ja")-G1435))</x:f>
      </x:c>
    </x:row>
    <x:row r="1436" ht="19" customHeight="1">
      <x:c r="A1436" s="90" t="n">
        <x:f>MONATSBUDGET!$A$78</x:f>
        <x:v>48366</x:v>
      </x:c>
      <x:c r="B1436" t="n">
        <x:f>17</x:f>
        <x:v>17</x:v>
      </x:c>
      <x:c r="C1436" t="str">
        <x:f>IF($N$25="","",$N$25)</x:f>
      </x:c>
      <x:c r="D1436" s="88" t="str">
        <x:f>IF(C1436="","",I1416)</x:f>
      </x:c>
      <x:c r="E1436" s="88" t="str">
        <x:f>IF(C1436="","",ROUND(D1436*$P$25/12,2))</x:f>
      </x:c>
      <x:c r="F1436" s="88" t="str">
        <x:f>IF(C1436="","",MIN(D1436+E1436,$Q$25))</x:f>
      </x:c>
      <x:c r="G1436" s="88" t="str">
        <x:f>IF(C1436="","",MIN(MAX(0,D1436+E1436-F1436),SUMIFS(SONDERZAHLUNGEN!$E$9:$E$128,SONDERZAHLUNGEN!$B$9:$B$128,C1436,SONDERZAHLUNGEN!$C$9:$C$128,A1436,SONDERZAHLUNGEN!$H$9:$H$128,"OK",SONDERZAHLUNGEN!$F$9:$F$128,"Ja")))</x:f>
      </x:c>
      <x:c r="H1436" s="88" t="str">
        <x:f>IF(C1436="","",MIN(MAX(0,D1436+E1436-F1436-G1436),MAX(0,IF(MONATSBUDGET!$C$78="",0,MONATSBUDGET!$C$78)-SUM(F1420:F1439)-SUM(H1420:H1435))))</x:f>
      </x:c>
      <x:c r="I1436" s="88" t="str">
        <x:f>IF(C1436="","",MAX(0,ROUND(D1436+E1436-F1436-G1436-H1436,2)))</x:f>
      </x:c>
      <x:c r="J1436" s="88" t="str">
        <x:f>IF(C1436="","",F1436+G1436+H1436)</x:f>
      </x:c>
      <x:c r="K1436" s="88" t="str">
        <x:f>IF(C1436="","",MAX(0,SUMIFS(SONDERZAHLUNGEN!$E$9:$E$128,SONDERZAHLUNGEN!$B$9:$B$128,C1436,SONDERZAHLUNGEN!$C$9:$C$128,A1436,SONDERZAHLUNGEN!$H$9:$H$128,"OK",SONDERZAHLUNGEN!$F$9:$F$128,"Ja")-G1436))</x:f>
      </x:c>
    </x:row>
    <x:row r="1437" ht="19" customHeight="1">
      <x:c r="A1437" s="90" t="n">
        <x:f>MONATSBUDGET!$A$78</x:f>
        <x:v>48366</x:v>
      </x:c>
      <x:c r="B1437" t="n">
        <x:f>18</x:f>
        <x:v>18</x:v>
      </x:c>
      <x:c r="C1437" t="str">
        <x:f>IF($N$26="","",$N$26)</x:f>
      </x:c>
      <x:c r="D1437" s="88" t="str">
        <x:f>IF(C1437="","",I1417)</x:f>
      </x:c>
      <x:c r="E1437" s="88" t="str">
        <x:f>IF(C1437="","",ROUND(D1437*$P$26/12,2))</x:f>
      </x:c>
      <x:c r="F1437" s="88" t="str">
        <x:f>IF(C1437="","",MIN(D1437+E1437,$Q$26))</x:f>
      </x:c>
      <x:c r="G1437" s="88" t="str">
        <x:f>IF(C1437="","",MIN(MAX(0,D1437+E1437-F1437),SUMIFS(SONDERZAHLUNGEN!$E$9:$E$128,SONDERZAHLUNGEN!$B$9:$B$128,C1437,SONDERZAHLUNGEN!$C$9:$C$128,A1437,SONDERZAHLUNGEN!$H$9:$H$128,"OK",SONDERZAHLUNGEN!$F$9:$F$128,"Ja")))</x:f>
      </x:c>
      <x:c r="H1437" s="88" t="str">
        <x:f>IF(C1437="","",MIN(MAX(0,D1437+E1437-F1437-G1437),MAX(0,IF(MONATSBUDGET!$C$78="",0,MONATSBUDGET!$C$78)-SUM(F1420:F1439)-SUM(H1420:H1436))))</x:f>
      </x:c>
      <x:c r="I1437" s="88" t="str">
        <x:f>IF(C1437="","",MAX(0,ROUND(D1437+E1437-F1437-G1437-H1437,2)))</x:f>
      </x:c>
      <x:c r="J1437" s="88" t="str">
        <x:f>IF(C1437="","",F1437+G1437+H1437)</x:f>
      </x:c>
      <x:c r="K1437" s="88" t="str">
        <x:f>IF(C1437="","",MAX(0,SUMIFS(SONDERZAHLUNGEN!$E$9:$E$128,SONDERZAHLUNGEN!$B$9:$B$128,C1437,SONDERZAHLUNGEN!$C$9:$C$128,A1437,SONDERZAHLUNGEN!$H$9:$H$128,"OK",SONDERZAHLUNGEN!$F$9:$F$128,"Ja")-G1437))</x:f>
      </x:c>
    </x:row>
    <x:row r="1438" ht="19" customHeight="1">
      <x:c r="A1438" s="90" t="n">
        <x:f>MONATSBUDGET!$A$78</x:f>
        <x:v>48366</x:v>
      </x:c>
      <x:c r="B1438" t="n">
        <x:f>19</x:f>
        <x:v>19</x:v>
      </x:c>
      <x:c r="C1438" t="str">
        <x:f>IF($N$27="","",$N$27)</x:f>
      </x:c>
      <x:c r="D1438" s="88" t="str">
        <x:f>IF(C1438="","",I1418)</x:f>
      </x:c>
      <x:c r="E1438" s="88" t="str">
        <x:f>IF(C1438="","",ROUND(D1438*$P$27/12,2))</x:f>
      </x:c>
      <x:c r="F1438" s="88" t="str">
        <x:f>IF(C1438="","",MIN(D1438+E1438,$Q$27))</x:f>
      </x:c>
      <x:c r="G1438" s="88" t="str">
        <x:f>IF(C1438="","",MIN(MAX(0,D1438+E1438-F1438),SUMIFS(SONDERZAHLUNGEN!$E$9:$E$128,SONDERZAHLUNGEN!$B$9:$B$128,C1438,SONDERZAHLUNGEN!$C$9:$C$128,A1438,SONDERZAHLUNGEN!$H$9:$H$128,"OK",SONDERZAHLUNGEN!$F$9:$F$128,"Ja")))</x:f>
      </x:c>
      <x:c r="H1438" s="88" t="str">
        <x:f>IF(C1438="","",MIN(MAX(0,D1438+E1438-F1438-G1438),MAX(0,IF(MONATSBUDGET!$C$78="",0,MONATSBUDGET!$C$78)-SUM(F1420:F1439)-SUM(H1420:H1437))))</x:f>
      </x:c>
      <x:c r="I1438" s="88" t="str">
        <x:f>IF(C1438="","",MAX(0,ROUND(D1438+E1438-F1438-G1438-H1438,2)))</x:f>
      </x:c>
      <x:c r="J1438" s="88" t="str">
        <x:f>IF(C1438="","",F1438+G1438+H1438)</x:f>
      </x:c>
      <x:c r="K1438" s="88" t="str">
        <x:f>IF(C1438="","",MAX(0,SUMIFS(SONDERZAHLUNGEN!$E$9:$E$128,SONDERZAHLUNGEN!$B$9:$B$128,C1438,SONDERZAHLUNGEN!$C$9:$C$128,A1438,SONDERZAHLUNGEN!$H$9:$H$128,"OK",SONDERZAHLUNGEN!$F$9:$F$128,"Ja")-G1438))</x:f>
      </x:c>
    </x:row>
    <x:row r="1439" ht="19" customHeight="1">
      <x:c r="A1439" s="90" t="n">
        <x:f>MONATSBUDGET!$A$78</x:f>
        <x:v>48366</x:v>
      </x:c>
      <x:c r="B1439" t="n">
        <x:f>20</x:f>
        <x:v>20</x:v>
      </x:c>
      <x:c r="C1439" t="str">
        <x:f>IF($N$28="","",$N$28)</x:f>
      </x:c>
      <x:c r="D1439" s="88" t="str">
        <x:f>IF(C1439="","",I1419)</x:f>
      </x:c>
      <x:c r="E1439" s="88" t="str">
        <x:f>IF(C1439="","",ROUND(D1439*$P$28/12,2))</x:f>
      </x:c>
      <x:c r="F1439" s="88" t="str">
        <x:f>IF(C1439="","",MIN(D1439+E1439,$Q$28))</x:f>
      </x:c>
      <x:c r="G1439" s="88" t="str">
        <x:f>IF(C1439="","",MIN(MAX(0,D1439+E1439-F1439),SUMIFS(SONDERZAHLUNGEN!$E$9:$E$128,SONDERZAHLUNGEN!$B$9:$B$128,C1439,SONDERZAHLUNGEN!$C$9:$C$128,A1439,SONDERZAHLUNGEN!$H$9:$H$128,"OK",SONDERZAHLUNGEN!$F$9:$F$128,"Ja")))</x:f>
      </x:c>
      <x:c r="H1439" s="88" t="str">
        <x:f>IF(C1439="","",MIN(MAX(0,D1439+E1439-F1439-G1439),MAX(0,IF(MONATSBUDGET!$C$78="",0,MONATSBUDGET!$C$78)-SUM(F1420:F1439)-SUM(H1420:H1438))))</x:f>
      </x:c>
      <x:c r="I1439" s="88" t="str">
        <x:f>IF(C1439="","",MAX(0,ROUND(D1439+E1439-F1439-G1439-H1439,2)))</x:f>
      </x:c>
      <x:c r="J1439" s="88" t="str">
        <x:f>IF(C1439="","",F1439+G1439+H1439)</x:f>
      </x:c>
      <x:c r="K1439" s="88" t="str">
        <x:f>IF(C1439="","",MAX(0,SUMIFS(SONDERZAHLUNGEN!$E$9:$E$128,SONDERZAHLUNGEN!$B$9:$B$128,C1439,SONDERZAHLUNGEN!$C$9:$C$128,A1439,SONDERZAHLUNGEN!$H$9:$H$128,"OK",SONDERZAHLUNGEN!$F$9:$F$128,"Ja")-G1439))</x:f>
      </x:c>
    </x:row>
    <x:row r="1440" ht="19" customHeight="1">
      <x:c r="A1440" s="90" t="n">
        <x:f>MONATSBUDGET!$A$79</x:f>
        <x:v>48396</x:v>
      </x:c>
      <x:c r="B1440" t="n">
        <x:f>1</x:f>
        <x:v>1</x:v>
      </x:c>
      <x:c r="C1440" t="str">
        <x:f>IF($N$9="","",$N$9)</x:f>
      </x:c>
      <x:c r="D1440" s="88" t="str">
        <x:f>IF(C1440="","",I1420)</x:f>
      </x:c>
      <x:c r="E1440" s="88" t="str">
        <x:f>IF(C1440="","",ROUND(D1440*$P$9/12,2))</x:f>
      </x:c>
      <x:c r="F1440" s="88" t="str">
        <x:f>IF(C1440="","",MIN(D1440+E1440,$Q$9))</x:f>
      </x:c>
      <x:c r="G1440" s="88" t="str">
        <x:f>IF(C1440="","",MIN(MAX(0,D1440+E1440-F1440),SUMIFS(SONDERZAHLUNGEN!$E$9:$E$128,SONDERZAHLUNGEN!$B$9:$B$128,C1440,SONDERZAHLUNGEN!$C$9:$C$128,A1440,SONDERZAHLUNGEN!$H$9:$H$128,"OK",SONDERZAHLUNGEN!$F$9:$F$128,"Ja")))</x:f>
      </x:c>
      <x:c r="H1440" s="88" t="str">
        <x:f>IF(C1440="","",MIN(MAX(0,D1440+E1440-F1440-G1440),MAX(0,IF(MONATSBUDGET!$C$79="",0,MONATSBUDGET!$C$79)-SUM(F1440:F1459)-0)))</x:f>
      </x:c>
      <x:c r="I1440" s="88" t="str">
        <x:f>IF(C1440="","",MAX(0,ROUND(D1440+E1440-F1440-G1440-H1440,2)))</x:f>
      </x:c>
      <x:c r="J1440" s="88" t="str">
        <x:f>IF(C1440="","",F1440+G1440+H1440)</x:f>
      </x:c>
      <x:c r="K1440" s="88" t="str">
        <x:f>IF(C1440="","",MAX(0,SUMIFS(SONDERZAHLUNGEN!$E$9:$E$128,SONDERZAHLUNGEN!$B$9:$B$128,C1440,SONDERZAHLUNGEN!$C$9:$C$128,A1440,SONDERZAHLUNGEN!$H$9:$H$128,"OK",SONDERZAHLUNGEN!$F$9:$F$128,"Ja")-G1440))</x:f>
      </x:c>
    </x:row>
    <x:row r="1441" ht="19" customHeight="1">
      <x:c r="A1441" s="90" t="n">
        <x:f>MONATSBUDGET!$A$79</x:f>
        <x:v>48396</x:v>
      </x:c>
      <x:c r="B1441" t="n">
        <x:f>2</x:f>
        <x:v>2</x:v>
      </x:c>
      <x:c r="C1441" t="str">
        <x:f>IF($N$10="","",$N$10)</x:f>
      </x:c>
      <x:c r="D1441" s="88" t="str">
        <x:f>IF(C1441="","",I1421)</x:f>
      </x:c>
      <x:c r="E1441" s="88" t="str">
        <x:f>IF(C1441="","",ROUND(D1441*$P$10/12,2))</x:f>
      </x:c>
      <x:c r="F1441" s="88" t="str">
        <x:f>IF(C1441="","",MIN(D1441+E1441,$Q$10))</x:f>
      </x:c>
      <x:c r="G1441" s="88" t="str">
        <x:f>IF(C1441="","",MIN(MAX(0,D1441+E1441-F1441),SUMIFS(SONDERZAHLUNGEN!$E$9:$E$128,SONDERZAHLUNGEN!$B$9:$B$128,C1441,SONDERZAHLUNGEN!$C$9:$C$128,A1441,SONDERZAHLUNGEN!$H$9:$H$128,"OK",SONDERZAHLUNGEN!$F$9:$F$128,"Ja")))</x:f>
      </x:c>
      <x:c r="H1441" s="88" t="str">
        <x:f>IF(C1441="","",MIN(MAX(0,D1441+E1441-F1441-G1441),MAX(0,IF(MONATSBUDGET!$C$79="",0,MONATSBUDGET!$C$79)-SUM(F1440:F1459)-SUM(H1440:H1440))))</x:f>
      </x:c>
      <x:c r="I1441" s="88" t="str">
        <x:f>IF(C1441="","",MAX(0,ROUND(D1441+E1441-F1441-G1441-H1441,2)))</x:f>
      </x:c>
      <x:c r="J1441" s="88" t="str">
        <x:f>IF(C1441="","",F1441+G1441+H1441)</x:f>
      </x:c>
      <x:c r="K1441" s="88" t="str">
        <x:f>IF(C1441="","",MAX(0,SUMIFS(SONDERZAHLUNGEN!$E$9:$E$128,SONDERZAHLUNGEN!$B$9:$B$128,C1441,SONDERZAHLUNGEN!$C$9:$C$128,A1441,SONDERZAHLUNGEN!$H$9:$H$128,"OK",SONDERZAHLUNGEN!$F$9:$F$128,"Ja")-G1441))</x:f>
      </x:c>
    </x:row>
    <x:row r="1442" ht="19" customHeight="1">
      <x:c r="A1442" s="90" t="n">
        <x:f>MONATSBUDGET!$A$79</x:f>
        <x:v>48396</x:v>
      </x:c>
      <x:c r="B1442" t="n">
        <x:f>3</x:f>
        <x:v>3</x:v>
      </x:c>
      <x:c r="C1442" t="str">
        <x:f>IF($N$11="","",$N$11)</x:f>
      </x:c>
      <x:c r="D1442" s="88" t="str">
        <x:f>IF(C1442="","",I1422)</x:f>
      </x:c>
      <x:c r="E1442" s="88" t="str">
        <x:f>IF(C1442="","",ROUND(D1442*$P$11/12,2))</x:f>
      </x:c>
      <x:c r="F1442" s="88" t="str">
        <x:f>IF(C1442="","",MIN(D1442+E1442,$Q$11))</x:f>
      </x:c>
      <x:c r="G1442" s="88" t="str">
        <x:f>IF(C1442="","",MIN(MAX(0,D1442+E1442-F1442),SUMIFS(SONDERZAHLUNGEN!$E$9:$E$128,SONDERZAHLUNGEN!$B$9:$B$128,C1442,SONDERZAHLUNGEN!$C$9:$C$128,A1442,SONDERZAHLUNGEN!$H$9:$H$128,"OK",SONDERZAHLUNGEN!$F$9:$F$128,"Ja")))</x:f>
      </x:c>
      <x:c r="H1442" s="88" t="str">
        <x:f>IF(C1442="","",MIN(MAX(0,D1442+E1442-F1442-G1442),MAX(0,IF(MONATSBUDGET!$C$79="",0,MONATSBUDGET!$C$79)-SUM(F1440:F1459)-SUM(H1440:H1441))))</x:f>
      </x:c>
      <x:c r="I1442" s="88" t="str">
        <x:f>IF(C1442="","",MAX(0,ROUND(D1442+E1442-F1442-G1442-H1442,2)))</x:f>
      </x:c>
      <x:c r="J1442" s="88" t="str">
        <x:f>IF(C1442="","",F1442+G1442+H1442)</x:f>
      </x:c>
      <x:c r="K1442" s="88" t="str">
        <x:f>IF(C1442="","",MAX(0,SUMIFS(SONDERZAHLUNGEN!$E$9:$E$128,SONDERZAHLUNGEN!$B$9:$B$128,C1442,SONDERZAHLUNGEN!$C$9:$C$128,A1442,SONDERZAHLUNGEN!$H$9:$H$128,"OK",SONDERZAHLUNGEN!$F$9:$F$128,"Ja")-G1442))</x:f>
      </x:c>
    </x:row>
    <x:row r="1443" ht="19" customHeight="1">
      <x:c r="A1443" s="90" t="n">
        <x:f>MONATSBUDGET!$A$79</x:f>
        <x:v>48396</x:v>
      </x:c>
      <x:c r="B1443" t="n">
        <x:f>4</x:f>
        <x:v>4</x:v>
      </x:c>
      <x:c r="C1443" t="str">
        <x:f>IF($N$12="","",$N$12)</x:f>
      </x:c>
      <x:c r="D1443" s="88" t="str">
        <x:f>IF(C1443="","",I1423)</x:f>
      </x:c>
      <x:c r="E1443" s="88" t="str">
        <x:f>IF(C1443="","",ROUND(D1443*$P$12/12,2))</x:f>
      </x:c>
      <x:c r="F1443" s="88" t="str">
        <x:f>IF(C1443="","",MIN(D1443+E1443,$Q$12))</x:f>
      </x:c>
      <x:c r="G1443" s="88" t="str">
        <x:f>IF(C1443="","",MIN(MAX(0,D1443+E1443-F1443),SUMIFS(SONDERZAHLUNGEN!$E$9:$E$128,SONDERZAHLUNGEN!$B$9:$B$128,C1443,SONDERZAHLUNGEN!$C$9:$C$128,A1443,SONDERZAHLUNGEN!$H$9:$H$128,"OK",SONDERZAHLUNGEN!$F$9:$F$128,"Ja")))</x:f>
      </x:c>
      <x:c r="H1443" s="88" t="str">
        <x:f>IF(C1443="","",MIN(MAX(0,D1443+E1443-F1443-G1443),MAX(0,IF(MONATSBUDGET!$C$79="",0,MONATSBUDGET!$C$79)-SUM(F1440:F1459)-SUM(H1440:H1442))))</x:f>
      </x:c>
      <x:c r="I1443" s="88" t="str">
        <x:f>IF(C1443="","",MAX(0,ROUND(D1443+E1443-F1443-G1443-H1443,2)))</x:f>
      </x:c>
      <x:c r="J1443" s="88" t="str">
        <x:f>IF(C1443="","",F1443+G1443+H1443)</x:f>
      </x:c>
      <x:c r="K1443" s="88" t="str">
        <x:f>IF(C1443="","",MAX(0,SUMIFS(SONDERZAHLUNGEN!$E$9:$E$128,SONDERZAHLUNGEN!$B$9:$B$128,C1443,SONDERZAHLUNGEN!$C$9:$C$128,A1443,SONDERZAHLUNGEN!$H$9:$H$128,"OK",SONDERZAHLUNGEN!$F$9:$F$128,"Ja")-G1443))</x:f>
      </x:c>
    </x:row>
    <x:row r="1444" ht="19" customHeight="1">
      <x:c r="A1444" s="90" t="n">
        <x:f>MONATSBUDGET!$A$79</x:f>
        <x:v>48396</x:v>
      </x:c>
      <x:c r="B1444" t="n">
        <x:f>5</x:f>
        <x:v>5</x:v>
      </x:c>
      <x:c r="C1444" t="str">
        <x:f>IF($N$13="","",$N$13)</x:f>
      </x:c>
      <x:c r="D1444" s="88" t="str">
        <x:f>IF(C1444="","",I1424)</x:f>
      </x:c>
      <x:c r="E1444" s="88" t="str">
        <x:f>IF(C1444="","",ROUND(D1444*$P$13/12,2))</x:f>
      </x:c>
      <x:c r="F1444" s="88" t="str">
        <x:f>IF(C1444="","",MIN(D1444+E1444,$Q$13))</x:f>
      </x:c>
      <x:c r="G1444" s="88" t="str">
        <x:f>IF(C1444="","",MIN(MAX(0,D1444+E1444-F1444),SUMIFS(SONDERZAHLUNGEN!$E$9:$E$128,SONDERZAHLUNGEN!$B$9:$B$128,C1444,SONDERZAHLUNGEN!$C$9:$C$128,A1444,SONDERZAHLUNGEN!$H$9:$H$128,"OK",SONDERZAHLUNGEN!$F$9:$F$128,"Ja")))</x:f>
      </x:c>
      <x:c r="H1444" s="88" t="str">
        <x:f>IF(C1444="","",MIN(MAX(0,D1444+E1444-F1444-G1444),MAX(0,IF(MONATSBUDGET!$C$79="",0,MONATSBUDGET!$C$79)-SUM(F1440:F1459)-SUM(H1440:H1443))))</x:f>
      </x:c>
      <x:c r="I1444" s="88" t="str">
        <x:f>IF(C1444="","",MAX(0,ROUND(D1444+E1444-F1444-G1444-H1444,2)))</x:f>
      </x:c>
      <x:c r="J1444" s="88" t="str">
        <x:f>IF(C1444="","",F1444+G1444+H1444)</x:f>
      </x:c>
      <x:c r="K1444" s="88" t="str">
        <x:f>IF(C1444="","",MAX(0,SUMIFS(SONDERZAHLUNGEN!$E$9:$E$128,SONDERZAHLUNGEN!$B$9:$B$128,C1444,SONDERZAHLUNGEN!$C$9:$C$128,A1444,SONDERZAHLUNGEN!$H$9:$H$128,"OK",SONDERZAHLUNGEN!$F$9:$F$128,"Ja")-G1444))</x:f>
      </x:c>
    </x:row>
    <x:row r="1445" ht="19" customHeight="1">
      <x:c r="A1445" s="90" t="n">
        <x:f>MONATSBUDGET!$A$79</x:f>
        <x:v>48396</x:v>
      </x:c>
      <x:c r="B1445" t="n">
        <x:f>6</x:f>
        <x:v>6</x:v>
      </x:c>
      <x:c r="C1445" t="str">
        <x:f>IF($N$14="","",$N$14)</x:f>
      </x:c>
      <x:c r="D1445" s="88" t="str">
        <x:f>IF(C1445="","",I1425)</x:f>
      </x:c>
      <x:c r="E1445" s="88" t="str">
        <x:f>IF(C1445="","",ROUND(D1445*$P$14/12,2))</x:f>
      </x:c>
      <x:c r="F1445" s="88" t="str">
        <x:f>IF(C1445="","",MIN(D1445+E1445,$Q$14))</x:f>
      </x:c>
      <x:c r="G1445" s="88" t="str">
        <x:f>IF(C1445="","",MIN(MAX(0,D1445+E1445-F1445),SUMIFS(SONDERZAHLUNGEN!$E$9:$E$128,SONDERZAHLUNGEN!$B$9:$B$128,C1445,SONDERZAHLUNGEN!$C$9:$C$128,A1445,SONDERZAHLUNGEN!$H$9:$H$128,"OK",SONDERZAHLUNGEN!$F$9:$F$128,"Ja")))</x:f>
      </x:c>
      <x:c r="H1445" s="88" t="str">
        <x:f>IF(C1445="","",MIN(MAX(0,D1445+E1445-F1445-G1445),MAX(0,IF(MONATSBUDGET!$C$79="",0,MONATSBUDGET!$C$79)-SUM(F1440:F1459)-SUM(H1440:H1444))))</x:f>
      </x:c>
      <x:c r="I1445" s="88" t="str">
        <x:f>IF(C1445="","",MAX(0,ROUND(D1445+E1445-F1445-G1445-H1445,2)))</x:f>
      </x:c>
      <x:c r="J1445" s="88" t="str">
        <x:f>IF(C1445="","",F1445+G1445+H1445)</x:f>
      </x:c>
      <x:c r="K1445" s="88" t="str">
        <x:f>IF(C1445="","",MAX(0,SUMIFS(SONDERZAHLUNGEN!$E$9:$E$128,SONDERZAHLUNGEN!$B$9:$B$128,C1445,SONDERZAHLUNGEN!$C$9:$C$128,A1445,SONDERZAHLUNGEN!$H$9:$H$128,"OK",SONDERZAHLUNGEN!$F$9:$F$128,"Ja")-G1445))</x:f>
      </x:c>
    </x:row>
    <x:row r="1446" ht="19" customHeight="1">
      <x:c r="A1446" s="90" t="n">
        <x:f>MONATSBUDGET!$A$79</x:f>
        <x:v>48396</x:v>
      </x:c>
      <x:c r="B1446" t="n">
        <x:f>7</x:f>
        <x:v>7</x:v>
      </x:c>
      <x:c r="C1446" t="str">
        <x:f>IF($N$15="","",$N$15)</x:f>
      </x:c>
      <x:c r="D1446" s="88" t="str">
        <x:f>IF(C1446="","",I1426)</x:f>
      </x:c>
      <x:c r="E1446" s="88" t="str">
        <x:f>IF(C1446="","",ROUND(D1446*$P$15/12,2))</x:f>
      </x:c>
      <x:c r="F1446" s="88" t="str">
        <x:f>IF(C1446="","",MIN(D1446+E1446,$Q$15))</x:f>
      </x:c>
      <x:c r="G1446" s="88" t="str">
        <x:f>IF(C1446="","",MIN(MAX(0,D1446+E1446-F1446),SUMIFS(SONDERZAHLUNGEN!$E$9:$E$128,SONDERZAHLUNGEN!$B$9:$B$128,C1446,SONDERZAHLUNGEN!$C$9:$C$128,A1446,SONDERZAHLUNGEN!$H$9:$H$128,"OK",SONDERZAHLUNGEN!$F$9:$F$128,"Ja")))</x:f>
      </x:c>
      <x:c r="H1446" s="88" t="str">
        <x:f>IF(C1446="","",MIN(MAX(0,D1446+E1446-F1446-G1446),MAX(0,IF(MONATSBUDGET!$C$79="",0,MONATSBUDGET!$C$79)-SUM(F1440:F1459)-SUM(H1440:H1445))))</x:f>
      </x:c>
      <x:c r="I1446" s="88" t="str">
        <x:f>IF(C1446="","",MAX(0,ROUND(D1446+E1446-F1446-G1446-H1446,2)))</x:f>
      </x:c>
      <x:c r="J1446" s="88" t="str">
        <x:f>IF(C1446="","",F1446+G1446+H1446)</x:f>
      </x:c>
      <x:c r="K1446" s="88" t="str">
        <x:f>IF(C1446="","",MAX(0,SUMIFS(SONDERZAHLUNGEN!$E$9:$E$128,SONDERZAHLUNGEN!$B$9:$B$128,C1446,SONDERZAHLUNGEN!$C$9:$C$128,A1446,SONDERZAHLUNGEN!$H$9:$H$128,"OK",SONDERZAHLUNGEN!$F$9:$F$128,"Ja")-G1446))</x:f>
      </x:c>
    </x:row>
    <x:row r="1447" ht="19" customHeight="1">
      <x:c r="A1447" s="90" t="n">
        <x:f>MONATSBUDGET!$A$79</x:f>
        <x:v>48396</x:v>
      </x:c>
      <x:c r="B1447" t="n">
        <x:f>8</x:f>
        <x:v>8</x:v>
      </x:c>
      <x:c r="C1447" t="str">
        <x:f>IF($N$16="","",$N$16)</x:f>
      </x:c>
      <x:c r="D1447" s="88" t="str">
        <x:f>IF(C1447="","",I1427)</x:f>
      </x:c>
      <x:c r="E1447" s="88" t="str">
        <x:f>IF(C1447="","",ROUND(D1447*$P$16/12,2))</x:f>
      </x:c>
      <x:c r="F1447" s="88" t="str">
        <x:f>IF(C1447="","",MIN(D1447+E1447,$Q$16))</x:f>
      </x:c>
      <x:c r="G1447" s="88" t="str">
        <x:f>IF(C1447="","",MIN(MAX(0,D1447+E1447-F1447),SUMIFS(SONDERZAHLUNGEN!$E$9:$E$128,SONDERZAHLUNGEN!$B$9:$B$128,C1447,SONDERZAHLUNGEN!$C$9:$C$128,A1447,SONDERZAHLUNGEN!$H$9:$H$128,"OK",SONDERZAHLUNGEN!$F$9:$F$128,"Ja")))</x:f>
      </x:c>
      <x:c r="H1447" s="88" t="str">
        <x:f>IF(C1447="","",MIN(MAX(0,D1447+E1447-F1447-G1447),MAX(0,IF(MONATSBUDGET!$C$79="",0,MONATSBUDGET!$C$79)-SUM(F1440:F1459)-SUM(H1440:H1446))))</x:f>
      </x:c>
      <x:c r="I1447" s="88" t="str">
        <x:f>IF(C1447="","",MAX(0,ROUND(D1447+E1447-F1447-G1447-H1447,2)))</x:f>
      </x:c>
      <x:c r="J1447" s="88" t="str">
        <x:f>IF(C1447="","",F1447+G1447+H1447)</x:f>
      </x:c>
      <x:c r="K1447" s="88" t="str">
        <x:f>IF(C1447="","",MAX(0,SUMIFS(SONDERZAHLUNGEN!$E$9:$E$128,SONDERZAHLUNGEN!$B$9:$B$128,C1447,SONDERZAHLUNGEN!$C$9:$C$128,A1447,SONDERZAHLUNGEN!$H$9:$H$128,"OK",SONDERZAHLUNGEN!$F$9:$F$128,"Ja")-G1447))</x:f>
      </x:c>
    </x:row>
    <x:row r="1448" ht="19" customHeight="1">
      <x:c r="A1448" s="90" t="n">
        <x:f>MONATSBUDGET!$A$79</x:f>
        <x:v>48396</x:v>
      </x:c>
      <x:c r="B1448" t="n">
        <x:f>9</x:f>
        <x:v>9</x:v>
      </x:c>
      <x:c r="C1448" t="str">
        <x:f>IF($N$17="","",$N$17)</x:f>
      </x:c>
      <x:c r="D1448" s="88" t="str">
        <x:f>IF(C1448="","",I1428)</x:f>
      </x:c>
      <x:c r="E1448" s="88" t="str">
        <x:f>IF(C1448="","",ROUND(D1448*$P$17/12,2))</x:f>
      </x:c>
      <x:c r="F1448" s="88" t="str">
        <x:f>IF(C1448="","",MIN(D1448+E1448,$Q$17))</x:f>
      </x:c>
      <x:c r="G1448" s="88" t="str">
        <x:f>IF(C1448="","",MIN(MAX(0,D1448+E1448-F1448),SUMIFS(SONDERZAHLUNGEN!$E$9:$E$128,SONDERZAHLUNGEN!$B$9:$B$128,C1448,SONDERZAHLUNGEN!$C$9:$C$128,A1448,SONDERZAHLUNGEN!$H$9:$H$128,"OK",SONDERZAHLUNGEN!$F$9:$F$128,"Ja")))</x:f>
      </x:c>
      <x:c r="H1448" s="88" t="str">
        <x:f>IF(C1448="","",MIN(MAX(0,D1448+E1448-F1448-G1448),MAX(0,IF(MONATSBUDGET!$C$79="",0,MONATSBUDGET!$C$79)-SUM(F1440:F1459)-SUM(H1440:H1447))))</x:f>
      </x:c>
      <x:c r="I1448" s="88" t="str">
        <x:f>IF(C1448="","",MAX(0,ROUND(D1448+E1448-F1448-G1448-H1448,2)))</x:f>
      </x:c>
      <x:c r="J1448" s="88" t="str">
        <x:f>IF(C1448="","",F1448+G1448+H1448)</x:f>
      </x:c>
      <x:c r="K1448" s="88" t="str">
        <x:f>IF(C1448="","",MAX(0,SUMIFS(SONDERZAHLUNGEN!$E$9:$E$128,SONDERZAHLUNGEN!$B$9:$B$128,C1448,SONDERZAHLUNGEN!$C$9:$C$128,A1448,SONDERZAHLUNGEN!$H$9:$H$128,"OK",SONDERZAHLUNGEN!$F$9:$F$128,"Ja")-G1448))</x:f>
      </x:c>
    </x:row>
    <x:row r="1449" ht="19" customHeight="1">
      <x:c r="A1449" s="90" t="n">
        <x:f>MONATSBUDGET!$A$79</x:f>
        <x:v>48396</x:v>
      </x:c>
      <x:c r="B1449" t="n">
        <x:f>10</x:f>
        <x:v>10</x:v>
      </x:c>
      <x:c r="C1449" t="str">
        <x:f>IF($N$18="","",$N$18)</x:f>
      </x:c>
      <x:c r="D1449" s="88" t="str">
        <x:f>IF(C1449="","",I1429)</x:f>
      </x:c>
      <x:c r="E1449" s="88" t="str">
        <x:f>IF(C1449="","",ROUND(D1449*$P$18/12,2))</x:f>
      </x:c>
      <x:c r="F1449" s="88" t="str">
        <x:f>IF(C1449="","",MIN(D1449+E1449,$Q$18))</x:f>
      </x:c>
      <x:c r="G1449" s="88" t="str">
        <x:f>IF(C1449="","",MIN(MAX(0,D1449+E1449-F1449),SUMIFS(SONDERZAHLUNGEN!$E$9:$E$128,SONDERZAHLUNGEN!$B$9:$B$128,C1449,SONDERZAHLUNGEN!$C$9:$C$128,A1449,SONDERZAHLUNGEN!$H$9:$H$128,"OK",SONDERZAHLUNGEN!$F$9:$F$128,"Ja")))</x:f>
      </x:c>
      <x:c r="H1449" s="88" t="str">
        <x:f>IF(C1449="","",MIN(MAX(0,D1449+E1449-F1449-G1449),MAX(0,IF(MONATSBUDGET!$C$79="",0,MONATSBUDGET!$C$79)-SUM(F1440:F1459)-SUM(H1440:H1448))))</x:f>
      </x:c>
      <x:c r="I1449" s="88" t="str">
        <x:f>IF(C1449="","",MAX(0,ROUND(D1449+E1449-F1449-G1449-H1449,2)))</x:f>
      </x:c>
      <x:c r="J1449" s="88" t="str">
        <x:f>IF(C1449="","",F1449+G1449+H1449)</x:f>
      </x:c>
      <x:c r="K1449" s="88" t="str">
        <x:f>IF(C1449="","",MAX(0,SUMIFS(SONDERZAHLUNGEN!$E$9:$E$128,SONDERZAHLUNGEN!$B$9:$B$128,C1449,SONDERZAHLUNGEN!$C$9:$C$128,A1449,SONDERZAHLUNGEN!$H$9:$H$128,"OK",SONDERZAHLUNGEN!$F$9:$F$128,"Ja")-G1449))</x:f>
      </x:c>
    </x:row>
    <x:row r="1450" ht="19" customHeight="1">
      <x:c r="A1450" s="90" t="n">
        <x:f>MONATSBUDGET!$A$79</x:f>
        <x:v>48396</x:v>
      </x:c>
      <x:c r="B1450" t="n">
        <x:f>11</x:f>
        <x:v>11</x:v>
      </x:c>
      <x:c r="C1450" t="str">
        <x:f>IF($N$19="","",$N$19)</x:f>
      </x:c>
      <x:c r="D1450" s="88" t="str">
        <x:f>IF(C1450="","",I1430)</x:f>
      </x:c>
      <x:c r="E1450" s="88" t="str">
        <x:f>IF(C1450="","",ROUND(D1450*$P$19/12,2))</x:f>
      </x:c>
      <x:c r="F1450" s="88" t="str">
        <x:f>IF(C1450="","",MIN(D1450+E1450,$Q$19))</x:f>
      </x:c>
      <x:c r="G1450" s="88" t="str">
        <x:f>IF(C1450="","",MIN(MAX(0,D1450+E1450-F1450),SUMIFS(SONDERZAHLUNGEN!$E$9:$E$128,SONDERZAHLUNGEN!$B$9:$B$128,C1450,SONDERZAHLUNGEN!$C$9:$C$128,A1450,SONDERZAHLUNGEN!$H$9:$H$128,"OK",SONDERZAHLUNGEN!$F$9:$F$128,"Ja")))</x:f>
      </x:c>
      <x:c r="H1450" s="88" t="str">
        <x:f>IF(C1450="","",MIN(MAX(0,D1450+E1450-F1450-G1450),MAX(0,IF(MONATSBUDGET!$C$79="",0,MONATSBUDGET!$C$79)-SUM(F1440:F1459)-SUM(H1440:H1449))))</x:f>
      </x:c>
      <x:c r="I1450" s="88" t="str">
        <x:f>IF(C1450="","",MAX(0,ROUND(D1450+E1450-F1450-G1450-H1450,2)))</x:f>
      </x:c>
      <x:c r="J1450" s="88" t="str">
        <x:f>IF(C1450="","",F1450+G1450+H1450)</x:f>
      </x:c>
      <x:c r="K1450" s="88" t="str">
        <x:f>IF(C1450="","",MAX(0,SUMIFS(SONDERZAHLUNGEN!$E$9:$E$128,SONDERZAHLUNGEN!$B$9:$B$128,C1450,SONDERZAHLUNGEN!$C$9:$C$128,A1450,SONDERZAHLUNGEN!$H$9:$H$128,"OK",SONDERZAHLUNGEN!$F$9:$F$128,"Ja")-G1450))</x:f>
      </x:c>
    </x:row>
    <x:row r="1451" ht="19" customHeight="1">
      <x:c r="A1451" s="90" t="n">
        <x:f>MONATSBUDGET!$A$79</x:f>
        <x:v>48396</x:v>
      </x:c>
      <x:c r="B1451" t="n">
        <x:f>12</x:f>
        <x:v>12</x:v>
      </x:c>
      <x:c r="C1451" t="str">
        <x:f>IF($N$20="","",$N$20)</x:f>
      </x:c>
      <x:c r="D1451" s="88" t="str">
        <x:f>IF(C1451="","",I1431)</x:f>
      </x:c>
      <x:c r="E1451" s="88" t="str">
        <x:f>IF(C1451="","",ROUND(D1451*$P$20/12,2))</x:f>
      </x:c>
      <x:c r="F1451" s="88" t="str">
        <x:f>IF(C1451="","",MIN(D1451+E1451,$Q$20))</x:f>
      </x:c>
      <x:c r="G1451" s="88" t="str">
        <x:f>IF(C1451="","",MIN(MAX(0,D1451+E1451-F1451),SUMIFS(SONDERZAHLUNGEN!$E$9:$E$128,SONDERZAHLUNGEN!$B$9:$B$128,C1451,SONDERZAHLUNGEN!$C$9:$C$128,A1451,SONDERZAHLUNGEN!$H$9:$H$128,"OK",SONDERZAHLUNGEN!$F$9:$F$128,"Ja")))</x:f>
      </x:c>
      <x:c r="H1451" s="88" t="str">
        <x:f>IF(C1451="","",MIN(MAX(0,D1451+E1451-F1451-G1451),MAX(0,IF(MONATSBUDGET!$C$79="",0,MONATSBUDGET!$C$79)-SUM(F1440:F1459)-SUM(H1440:H1450))))</x:f>
      </x:c>
      <x:c r="I1451" s="88" t="str">
        <x:f>IF(C1451="","",MAX(0,ROUND(D1451+E1451-F1451-G1451-H1451,2)))</x:f>
      </x:c>
      <x:c r="J1451" s="88" t="str">
        <x:f>IF(C1451="","",F1451+G1451+H1451)</x:f>
      </x:c>
      <x:c r="K1451" s="88" t="str">
        <x:f>IF(C1451="","",MAX(0,SUMIFS(SONDERZAHLUNGEN!$E$9:$E$128,SONDERZAHLUNGEN!$B$9:$B$128,C1451,SONDERZAHLUNGEN!$C$9:$C$128,A1451,SONDERZAHLUNGEN!$H$9:$H$128,"OK",SONDERZAHLUNGEN!$F$9:$F$128,"Ja")-G1451))</x:f>
      </x:c>
    </x:row>
    <x:row r="1452" ht="19" customHeight="1">
      <x:c r="A1452" s="90" t="n">
        <x:f>MONATSBUDGET!$A$79</x:f>
        <x:v>48396</x:v>
      </x:c>
      <x:c r="B1452" t="n">
        <x:f>13</x:f>
        <x:v>13</x:v>
      </x:c>
      <x:c r="C1452" t="str">
        <x:f>IF($N$21="","",$N$21)</x:f>
      </x:c>
      <x:c r="D1452" s="88" t="str">
        <x:f>IF(C1452="","",I1432)</x:f>
      </x:c>
      <x:c r="E1452" s="88" t="str">
        <x:f>IF(C1452="","",ROUND(D1452*$P$21/12,2))</x:f>
      </x:c>
      <x:c r="F1452" s="88" t="str">
        <x:f>IF(C1452="","",MIN(D1452+E1452,$Q$21))</x:f>
      </x:c>
      <x:c r="G1452" s="88" t="str">
        <x:f>IF(C1452="","",MIN(MAX(0,D1452+E1452-F1452),SUMIFS(SONDERZAHLUNGEN!$E$9:$E$128,SONDERZAHLUNGEN!$B$9:$B$128,C1452,SONDERZAHLUNGEN!$C$9:$C$128,A1452,SONDERZAHLUNGEN!$H$9:$H$128,"OK",SONDERZAHLUNGEN!$F$9:$F$128,"Ja")))</x:f>
      </x:c>
      <x:c r="H1452" s="88" t="str">
        <x:f>IF(C1452="","",MIN(MAX(0,D1452+E1452-F1452-G1452),MAX(0,IF(MONATSBUDGET!$C$79="",0,MONATSBUDGET!$C$79)-SUM(F1440:F1459)-SUM(H1440:H1451))))</x:f>
      </x:c>
      <x:c r="I1452" s="88" t="str">
        <x:f>IF(C1452="","",MAX(0,ROUND(D1452+E1452-F1452-G1452-H1452,2)))</x:f>
      </x:c>
      <x:c r="J1452" s="88" t="str">
        <x:f>IF(C1452="","",F1452+G1452+H1452)</x:f>
      </x:c>
      <x:c r="K1452" s="88" t="str">
        <x:f>IF(C1452="","",MAX(0,SUMIFS(SONDERZAHLUNGEN!$E$9:$E$128,SONDERZAHLUNGEN!$B$9:$B$128,C1452,SONDERZAHLUNGEN!$C$9:$C$128,A1452,SONDERZAHLUNGEN!$H$9:$H$128,"OK",SONDERZAHLUNGEN!$F$9:$F$128,"Ja")-G1452))</x:f>
      </x:c>
    </x:row>
    <x:row r="1453" ht="19" customHeight="1">
      <x:c r="A1453" s="90" t="n">
        <x:f>MONATSBUDGET!$A$79</x:f>
        <x:v>48396</x:v>
      </x:c>
      <x:c r="B1453" t="n">
        <x:f>14</x:f>
        <x:v>14</x:v>
      </x:c>
      <x:c r="C1453" t="str">
        <x:f>IF($N$22="","",$N$22)</x:f>
      </x:c>
      <x:c r="D1453" s="88" t="str">
        <x:f>IF(C1453="","",I1433)</x:f>
      </x:c>
      <x:c r="E1453" s="88" t="str">
        <x:f>IF(C1453="","",ROUND(D1453*$P$22/12,2))</x:f>
      </x:c>
      <x:c r="F1453" s="88" t="str">
        <x:f>IF(C1453="","",MIN(D1453+E1453,$Q$22))</x:f>
      </x:c>
      <x:c r="G1453" s="88" t="str">
        <x:f>IF(C1453="","",MIN(MAX(0,D1453+E1453-F1453),SUMIFS(SONDERZAHLUNGEN!$E$9:$E$128,SONDERZAHLUNGEN!$B$9:$B$128,C1453,SONDERZAHLUNGEN!$C$9:$C$128,A1453,SONDERZAHLUNGEN!$H$9:$H$128,"OK",SONDERZAHLUNGEN!$F$9:$F$128,"Ja")))</x:f>
      </x:c>
      <x:c r="H1453" s="88" t="str">
        <x:f>IF(C1453="","",MIN(MAX(0,D1453+E1453-F1453-G1453),MAX(0,IF(MONATSBUDGET!$C$79="",0,MONATSBUDGET!$C$79)-SUM(F1440:F1459)-SUM(H1440:H1452))))</x:f>
      </x:c>
      <x:c r="I1453" s="88" t="str">
        <x:f>IF(C1453="","",MAX(0,ROUND(D1453+E1453-F1453-G1453-H1453,2)))</x:f>
      </x:c>
      <x:c r="J1453" s="88" t="str">
        <x:f>IF(C1453="","",F1453+G1453+H1453)</x:f>
      </x:c>
      <x:c r="K1453" s="88" t="str">
        <x:f>IF(C1453="","",MAX(0,SUMIFS(SONDERZAHLUNGEN!$E$9:$E$128,SONDERZAHLUNGEN!$B$9:$B$128,C1453,SONDERZAHLUNGEN!$C$9:$C$128,A1453,SONDERZAHLUNGEN!$H$9:$H$128,"OK",SONDERZAHLUNGEN!$F$9:$F$128,"Ja")-G1453))</x:f>
      </x:c>
    </x:row>
    <x:row r="1454" ht="19" customHeight="1">
      <x:c r="A1454" s="90" t="n">
        <x:f>MONATSBUDGET!$A$79</x:f>
        <x:v>48396</x:v>
      </x:c>
      <x:c r="B1454" t="n">
        <x:f>15</x:f>
        <x:v>15</x:v>
      </x:c>
      <x:c r="C1454" t="str">
        <x:f>IF($N$23="","",$N$23)</x:f>
      </x:c>
      <x:c r="D1454" s="88" t="str">
        <x:f>IF(C1454="","",I1434)</x:f>
      </x:c>
      <x:c r="E1454" s="88" t="str">
        <x:f>IF(C1454="","",ROUND(D1454*$P$23/12,2))</x:f>
      </x:c>
      <x:c r="F1454" s="88" t="str">
        <x:f>IF(C1454="","",MIN(D1454+E1454,$Q$23))</x:f>
      </x:c>
      <x:c r="G1454" s="88" t="str">
        <x:f>IF(C1454="","",MIN(MAX(0,D1454+E1454-F1454),SUMIFS(SONDERZAHLUNGEN!$E$9:$E$128,SONDERZAHLUNGEN!$B$9:$B$128,C1454,SONDERZAHLUNGEN!$C$9:$C$128,A1454,SONDERZAHLUNGEN!$H$9:$H$128,"OK",SONDERZAHLUNGEN!$F$9:$F$128,"Ja")))</x:f>
      </x:c>
      <x:c r="H1454" s="88" t="str">
        <x:f>IF(C1454="","",MIN(MAX(0,D1454+E1454-F1454-G1454),MAX(0,IF(MONATSBUDGET!$C$79="",0,MONATSBUDGET!$C$79)-SUM(F1440:F1459)-SUM(H1440:H1453))))</x:f>
      </x:c>
      <x:c r="I1454" s="88" t="str">
        <x:f>IF(C1454="","",MAX(0,ROUND(D1454+E1454-F1454-G1454-H1454,2)))</x:f>
      </x:c>
      <x:c r="J1454" s="88" t="str">
        <x:f>IF(C1454="","",F1454+G1454+H1454)</x:f>
      </x:c>
      <x:c r="K1454" s="88" t="str">
        <x:f>IF(C1454="","",MAX(0,SUMIFS(SONDERZAHLUNGEN!$E$9:$E$128,SONDERZAHLUNGEN!$B$9:$B$128,C1454,SONDERZAHLUNGEN!$C$9:$C$128,A1454,SONDERZAHLUNGEN!$H$9:$H$128,"OK",SONDERZAHLUNGEN!$F$9:$F$128,"Ja")-G1454))</x:f>
      </x:c>
    </x:row>
    <x:row r="1455" ht="19" customHeight="1">
      <x:c r="A1455" s="90" t="n">
        <x:f>MONATSBUDGET!$A$79</x:f>
        <x:v>48396</x:v>
      </x:c>
      <x:c r="B1455" t="n">
        <x:f>16</x:f>
        <x:v>16</x:v>
      </x:c>
      <x:c r="C1455" t="str">
        <x:f>IF($N$24="","",$N$24)</x:f>
      </x:c>
      <x:c r="D1455" s="88" t="str">
        <x:f>IF(C1455="","",I1435)</x:f>
      </x:c>
      <x:c r="E1455" s="88" t="str">
        <x:f>IF(C1455="","",ROUND(D1455*$P$24/12,2))</x:f>
      </x:c>
      <x:c r="F1455" s="88" t="str">
        <x:f>IF(C1455="","",MIN(D1455+E1455,$Q$24))</x:f>
      </x:c>
      <x:c r="G1455" s="88" t="str">
        <x:f>IF(C1455="","",MIN(MAX(0,D1455+E1455-F1455),SUMIFS(SONDERZAHLUNGEN!$E$9:$E$128,SONDERZAHLUNGEN!$B$9:$B$128,C1455,SONDERZAHLUNGEN!$C$9:$C$128,A1455,SONDERZAHLUNGEN!$H$9:$H$128,"OK",SONDERZAHLUNGEN!$F$9:$F$128,"Ja")))</x:f>
      </x:c>
      <x:c r="H1455" s="88" t="str">
        <x:f>IF(C1455="","",MIN(MAX(0,D1455+E1455-F1455-G1455),MAX(0,IF(MONATSBUDGET!$C$79="",0,MONATSBUDGET!$C$79)-SUM(F1440:F1459)-SUM(H1440:H1454))))</x:f>
      </x:c>
      <x:c r="I1455" s="88" t="str">
        <x:f>IF(C1455="","",MAX(0,ROUND(D1455+E1455-F1455-G1455-H1455,2)))</x:f>
      </x:c>
      <x:c r="J1455" s="88" t="str">
        <x:f>IF(C1455="","",F1455+G1455+H1455)</x:f>
      </x:c>
      <x:c r="K1455" s="88" t="str">
        <x:f>IF(C1455="","",MAX(0,SUMIFS(SONDERZAHLUNGEN!$E$9:$E$128,SONDERZAHLUNGEN!$B$9:$B$128,C1455,SONDERZAHLUNGEN!$C$9:$C$128,A1455,SONDERZAHLUNGEN!$H$9:$H$128,"OK",SONDERZAHLUNGEN!$F$9:$F$128,"Ja")-G1455))</x:f>
      </x:c>
    </x:row>
    <x:row r="1456" ht="19" customHeight="1">
      <x:c r="A1456" s="90" t="n">
        <x:f>MONATSBUDGET!$A$79</x:f>
        <x:v>48396</x:v>
      </x:c>
      <x:c r="B1456" t="n">
        <x:f>17</x:f>
        <x:v>17</x:v>
      </x:c>
      <x:c r="C1456" t="str">
        <x:f>IF($N$25="","",$N$25)</x:f>
      </x:c>
      <x:c r="D1456" s="88" t="str">
        <x:f>IF(C1456="","",I1436)</x:f>
      </x:c>
      <x:c r="E1456" s="88" t="str">
        <x:f>IF(C1456="","",ROUND(D1456*$P$25/12,2))</x:f>
      </x:c>
      <x:c r="F1456" s="88" t="str">
        <x:f>IF(C1456="","",MIN(D1456+E1456,$Q$25))</x:f>
      </x:c>
      <x:c r="G1456" s="88" t="str">
        <x:f>IF(C1456="","",MIN(MAX(0,D1456+E1456-F1456),SUMIFS(SONDERZAHLUNGEN!$E$9:$E$128,SONDERZAHLUNGEN!$B$9:$B$128,C1456,SONDERZAHLUNGEN!$C$9:$C$128,A1456,SONDERZAHLUNGEN!$H$9:$H$128,"OK",SONDERZAHLUNGEN!$F$9:$F$128,"Ja")))</x:f>
      </x:c>
      <x:c r="H1456" s="88" t="str">
        <x:f>IF(C1456="","",MIN(MAX(0,D1456+E1456-F1456-G1456),MAX(0,IF(MONATSBUDGET!$C$79="",0,MONATSBUDGET!$C$79)-SUM(F1440:F1459)-SUM(H1440:H1455))))</x:f>
      </x:c>
      <x:c r="I1456" s="88" t="str">
        <x:f>IF(C1456="","",MAX(0,ROUND(D1456+E1456-F1456-G1456-H1456,2)))</x:f>
      </x:c>
      <x:c r="J1456" s="88" t="str">
        <x:f>IF(C1456="","",F1456+G1456+H1456)</x:f>
      </x:c>
      <x:c r="K1456" s="88" t="str">
        <x:f>IF(C1456="","",MAX(0,SUMIFS(SONDERZAHLUNGEN!$E$9:$E$128,SONDERZAHLUNGEN!$B$9:$B$128,C1456,SONDERZAHLUNGEN!$C$9:$C$128,A1456,SONDERZAHLUNGEN!$H$9:$H$128,"OK",SONDERZAHLUNGEN!$F$9:$F$128,"Ja")-G1456))</x:f>
      </x:c>
    </x:row>
    <x:row r="1457" ht="19" customHeight="1">
      <x:c r="A1457" s="90" t="n">
        <x:f>MONATSBUDGET!$A$79</x:f>
        <x:v>48396</x:v>
      </x:c>
      <x:c r="B1457" t="n">
        <x:f>18</x:f>
        <x:v>18</x:v>
      </x:c>
      <x:c r="C1457" t="str">
        <x:f>IF($N$26="","",$N$26)</x:f>
      </x:c>
      <x:c r="D1457" s="88" t="str">
        <x:f>IF(C1457="","",I1437)</x:f>
      </x:c>
      <x:c r="E1457" s="88" t="str">
        <x:f>IF(C1457="","",ROUND(D1457*$P$26/12,2))</x:f>
      </x:c>
      <x:c r="F1457" s="88" t="str">
        <x:f>IF(C1457="","",MIN(D1457+E1457,$Q$26))</x:f>
      </x:c>
      <x:c r="G1457" s="88" t="str">
        <x:f>IF(C1457="","",MIN(MAX(0,D1457+E1457-F1457),SUMIFS(SONDERZAHLUNGEN!$E$9:$E$128,SONDERZAHLUNGEN!$B$9:$B$128,C1457,SONDERZAHLUNGEN!$C$9:$C$128,A1457,SONDERZAHLUNGEN!$H$9:$H$128,"OK",SONDERZAHLUNGEN!$F$9:$F$128,"Ja")))</x:f>
      </x:c>
      <x:c r="H1457" s="88" t="str">
        <x:f>IF(C1457="","",MIN(MAX(0,D1457+E1457-F1457-G1457),MAX(0,IF(MONATSBUDGET!$C$79="",0,MONATSBUDGET!$C$79)-SUM(F1440:F1459)-SUM(H1440:H1456))))</x:f>
      </x:c>
      <x:c r="I1457" s="88" t="str">
        <x:f>IF(C1457="","",MAX(0,ROUND(D1457+E1457-F1457-G1457-H1457,2)))</x:f>
      </x:c>
      <x:c r="J1457" s="88" t="str">
        <x:f>IF(C1457="","",F1457+G1457+H1457)</x:f>
      </x:c>
      <x:c r="K1457" s="88" t="str">
        <x:f>IF(C1457="","",MAX(0,SUMIFS(SONDERZAHLUNGEN!$E$9:$E$128,SONDERZAHLUNGEN!$B$9:$B$128,C1457,SONDERZAHLUNGEN!$C$9:$C$128,A1457,SONDERZAHLUNGEN!$H$9:$H$128,"OK",SONDERZAHLUNGEN!$F$9:$F$128,"Ja")-G1457))</x:f>
      </x:c>
    </x:row>
    <x:row r="1458" ht="19" customHeight="1">
      <x:c r="A1458" s="90" t="n">
        <x:f>MONATSBUDGET!$A$79</x:f>
        <x:v>48396</x:v>
      </x:c>
      <x:c r="B1458" t="n">
        <x:f>19</x:f>
        <x:v>19</x:v>
      </x:c>
      <x:c r="C1458" t="str">
        <x:f>IF($N$27="","",$N$27)</x:f>
      </x:c>
      <x:c r="D1458" s="88" t="str">
        <x:f>IF(C1458="","",I1438)</x:f>
      </x:c>
      <x:c r="E1458" s="88" t="str">
        <x:f>IF(C1458="","",ROUND(D1458*$P$27/12,2))</x:f>
      </x:c>
      <x:c r="F1458" s="88" t="str">
        <x:f>IF(C1458="","",MIN(D1458+E1458,$Q$27))</x:f>
      </x:c>
      <x:c r="G1458" s="88" t="str">
        <x:f>IF(C1458="","",MIN(MAX(0,D1458+E1458-F1458),SUMIFS(SONDERZAHLUNGEN!$E$9:$E$128,SONDERZAHLUNGEN!$B$9:$B$128,C1458,SONDERZAHLUNGEN!$C$9:$C$128,A1458,SONDERZAHLUNGEN!$H$9:$H$128,"OK",SONDERZAHLUNGEN!$F$9:$F$128,"Ja")))</x:f>
      </x:c>
      <x:c r="H1458" s="88" t="str">
        <x:f>IF(C1458="","",MIN(MAX(0,D1458+E1458-F1458-G1458),MAX(0,IF(MONATSBUDGET!$C$79="",0,MONATSBUDGET!$C$79)-SUM(F1440:F1459)-SUM(H1440:H1457))))</x:f>
      </x:c>
      <x:c r="I1458" s="88" t="str">
        <x:f>IF(C1458="","",MAX(0,ROUND(D1458+E1458-F1458-G1458-H1458,2)))</x:f>
      </x:c>
      <x:c r="J1458" s="88" t="str">
        <x:f>IF(C1458="","",F1458+G1458+H1458)</x:f>
      </x:c>
      <x:c r="K1458" s="88" t="str">
        <x:f>IF(C1458="","",MAX(0,SUMIFS(SONDERZAHLUNGEN!$E$9:$E$128,SONDERZAHLUNGEN!$B$9:$B$128,C1458,SONDERZAHLUNGEN!$C$9:$C$128,A1458,SONDERZAHLUNGEN!$H$9:$H$128,"OK",SONDERZAHLUNGEN!$F$9:$F$128,"Ja")-G1458))</x:f>
      </x:c>
    </x:row>
    <x:row r="1459" ht="19" customHeight="1">
      <x:c r="A1459" s="90" t="n">
        <x:f>MONATSBUDGET!$A$79</x:f>
        <x:v>48396</x:v>
      </x:c>
      <x:c r="B1459" t="n">
        <x:f>20</x:f>
        <x:v>20</x:v>
      </x:c>
      <x:c r="C1459" t="str">
        <x:f>IF($N$28="","",$N$28)</x:f>
      </x:c>
      <x:c r="D1459" s="88" t="str">
        <x:f>IF(C1459="","",I1439)</x:f>
      </x:c>
      <x:c r="E1459" s="88" t="str">
        <x:f>IF(C1459="","",ROUND(D1459*$P$28/12,2))</x:f>
      </x:c>
      <x:c r="F1459" s="88" t="str">
        <x:f>IF(C1459="","",MIN(D1459+E1459,$Q$28))</x:f>
      </x:c>
      <x:c r="G1459" s="88" t="str">
        <x:f>IF(C1459="","",MIN(MAX(0,D1459+E1459-F1459),SUMIFS(SONDERZAHLUNGEN!$E$9:$E$128,SONDERZAHLUNGEN!$B$9:$B$128,C1459,SONDERZAHLUNGEN!$C$9:$C$128,A1459,SONDERZAHLUNGEN!$H$9:$H$128,"OK",SONDERZAHLUNGEN!$F$9:$F$128,"Ja")))</x:f>
      </x:c>
      <x:c r="H1459" s="88" t="str">
        <x:f>IF(C1459="","",MIN(MAX(0,D1459+E1459-F1459-G1459),MAX(0,IF(MONATSBUDGET!$C$79="",0,MONATSBUDGET!$C$79)-SUM(F1440:F1459)-SUM(H1440:H1458))))</x:f>
      </x:c>
      <x:c r="I1459" s="88" t="str">
        <x:f>IF(C1459="","",MAX(0,ROUND(D1459+E1459-F1459-G1459-H1459,2)))</x:f>
      </x:c>
      <x:c r="J1459" s="88" t="str">
        <x:f>IF(C1459="","",F1459+G1459+H1459)</x:f>
      </x:c>
      <x:c r="K1459" s="88" t="str">
        <x:f>IF(C1459="","",MAX(0,SUMIFS(SONDERZAHLUNGEN!$E$9:$E$128,SONDERZAHLUNGEN!$B$9:$B$128,C1459,SONDERZAHLUNGEN!$C$9:$C$128,A1459,SONDERZAHLUNGEN!$H$9:$H$128,"OK",SONDERZAHLUNGEN!$F$9:$F$128,"Ja")-G1459))</x:f>
      </x:c>
    </x:row>
    <x:row r="1460" ht="19" customHeight="1">
      <x:c r="A1460" s="90" t="n">
        <x:f>MONATSBUDGET!$A$80</x:f>
        <x:v>48427</x:v>
      </x:c>
      <x:c r="B1460" t="n">
        <x:f>1</x:f>
        <x:v>1</x:v>
      </x:c>
      <x:c r="C1460" t="str">
        <x:f>IF($N$9="","",$N$9)</x:f>
      </x:c>
      <x:c r="D1460" s="88" t="str">
        <x:f>IF(C1460="","",I1440)</x:f>
      </x:c>
      <x:c r="E1460" s="88" t="str">
        <x:f>IF(C1460="","",ROUND(D1460*$P$9/12,2))</x:f>
      </x:c>
      <x:c r="F1460" s="88" t="str">
        <x:f>IF(C1460="","",MIN(D1460+E1460,$Q$9))</x:f>
      </x:c>
      <x:c r="G1460" s="88" t="str">
        <x:f>IF(C1460="","",MIN(MAX(0,D1460+E1460-F1460),SUMIFS(SONDERZAHLUNGEN!$E$9:$E$128,SONDERZAHLUNGEN!$B$9:$B$128,C1460,SONDERZAHLUNGEN!$C$9:$C$128,A1460,SONDERZAHLUNGEN!$H$9:$H$128,"OK",SONDERZAHLUNGEN!$F$9:$F$128,"Ja")))</x:f>
      </x:c>
      <x:c r="H1460" s="88" t="str">
        <x:f>IF(C1460="","",MIN(MAX(0,D1460+E1460-F1460-G1460),MAX(0,IF(MONATSBUDGET!$C$80="",0,MONATSBUDGET!$C$80)-SUM(F1460:F1479)-0)))</x:f>
      </x:c>
      <x:c r="I1460" s="88" t="str">
        <x:f>IF(C1460="","",MAX(0,ROUND(D1460+E1460-F1460-G1460-H1460,2)))</x:f>
      </x:c>
      <x:c r="J1460" s="88" t="str">
        <x:f>IF(C1460="","",F1460+G1460+H1460)</x:f>
      </x:c>
      <x:c r="K1460" s="88" t="str">
        <x:f>IF(C1460="","",MAX(0,SUMIFS(SONDERZAHLUNGEN!$E$9:$E$128,SONDERZAHLUNGEN!$B$9:$B$128,C1460,SONDERZAHLUNGEN!$C$9:$C$128,A1460,SONDERZAHLUNGEN!$H$9:$H$128,"OK",SONDERZAHLUNGEN!$F$9:$F$128,"Ja")-G1460))</x:f>
      </x:c>
    </x:row>
    <x:row r="1461" ht="19" customHeight="1">
      <x:c r="A1461" s="90" t="n">
        <x:f>MONATSBUDGET!$A$80</x:f>
        <x:v>48427</x:v>
      </x:c>
      <x:c r="B1461" t="n">
        <x:f>2</x:f>
        <x:v>2</x:v>
      </x:c>
      <x:c r="C1461" t="str">
        <x:f>IF($N$10="","",$N$10)</x:f>
      </x:c>
      <x:c r="D1461" s="88" t="str">
        <x:f>IF(C1461="","",I1441)</x:f>
      </x:c>
      <x:c r="E1461" s="88" t="str">
        <x:f>IF(C1461="","",ROUND(D1461*$P$10/12,2))</x:f>
      </x:c>
      <x:c r="F1461" s="88" t="str">
        <x:f>IF(C1461="","",MIN(D1461+E1461,$Q$10))</x:f>
      </x:c>
      <x:c r="G1461" s="88" t="str">
        <x:f>IF(C1461="","",MIN(MAX(0,D1461+E1461-F1461),SUMIFS(SONDERZAHLUNGEN!$E$9:$E$128,SONDERZAHLUNGEN!$B$9:$B$128,C1461,SONDERZAHLUNGEN!$C$9:$C$128,A1461,SONDERZAHLUNGEN!$H$9:$H$128,"OK",SONDERZAHLUNGEN!$F$9:$F$128,"Ja")))</x:f>
      </x:c>
      <x:c r="H1461" s="88" t="str">
        <x:f>IF(C1461="","",MIN(MAX(0,D1461+E1461-F1461-G1461),MAX(0,IF(MONATSBUDGET!$C$80="",0,MONATSBUDGET!$C$80)-SUM(F1460:F1479)-SUM(H1460:H1460))))</x:f>
      </x:c>
      <x:c r="I1461" s="88" t="str">
        <x:f>IF(C1461="","",MAX(0,ROUND(D1461+E1461-F1461-G1461-H1461,2)))</x:f>
      </x:c>
      <x:c r="J1461" s="88" t="str">
        <x:f>IF(C1461="","",F1461+G1461+H1461)</x:f>
      </x:c>
      <x:c r="K1461" s="88" t="str">
        <x:f>IF(C1461="","",MAX(0,SUMIFS(SONDERZAHLUNGEN!$E$9:$E$128,SONDERZAHLUNGEN!$B$9:$B$128,C1461,SONDERZAHLUNGEN!$C$9:$C$128,A1461,SONDERZAHLUNGEN!$H$9:$H$128,"OK",SONDERZAHLUNGEN!$F$9:$F$128,"Ja")-G1461))</x:f>
      </x:c>
    </x:row>
    <x:row r="1462" ht="19" customHeight="1">
      <x:c r="A1462" s="90" t="n">
        <x:f>MONATSBUDGET!$A$80</x:f>
        <x:v>48427</x:v>
      </x:c>
      <x:c r="B1462" t="n">
        <x:f>3</x:f>
        <x:v>3</x:v>
      </x:c>
      <x:c r="C1462" t="str">
        <x:f>IF($N$11="","",$N$11)</x:f>
      </x:c>
      <x:c r="D1462" s="88" t="str">
        <x:f>IF(C1462="","",I1442)</x:f>
      </x:c>
      <x:c r="E1462" s="88" t="str">
        <x:f>IF(C1462="","",ROUND(D1462*$P$11/12,2))</x:f>
      </x:c>
      <x:c r="F1462" s="88" t="str">
        <x:f>IF(C1462="","",MIN(D1462+E1462,$Q$11))</x:f>
      </x:c>
      <x:c r="G1462" s="88" t="str">
        <x:f>IF(C1462="","",MIN(MAX(0,D1462+E1462-F1462),SUMIFS(SONDERZAHLUNGEN!$E$9:$E$128,SONDERZAHLUNGEN!$B$9:$B$128,C1462,SONDERZAHLUNGEN!$C$9:$C$128,A1462,SONDERZAHLUNGEN!$H$9:$H$128,"OK",SONDERZAHLUNGEN!$F$9:$F$128,"Ja")))</x:f>
      </x:c>
      <x:c r="H1462" s="88" t="str">
        <x:f>IF(C1462="","",MIN(MAX(0,D1462+E1462-F1462-G1462),MAX(0,IF(MONATSBUDGET!$C$80="",0,MONATSBUDGET!$C$80)-SUM(F1460:F1479)-SUM(H1460:H1461))))</x:f>
      </x:c>
      <x:c r="I1462" s="88" t="str">
        <x:f>IF(C1462="","",MAX(0,ROUND(D1462+E1462-F1462-G1462-H1462,2)))</x:f>
      </x:c>
      <x:c r="J1462" s="88" t="str">
        <x:f>IF(C1462="","",F1462+G1462+H1462)</x:f>
      </x:c>
      <x:c r="K1462" s="88" t="str">
        <x:f>IF(C1462="","",MAX(0,SUMIFS(SONDERZAHLUNGEN!$E$9:$E$128,SONDERZAHLUNGEN!$B$9:$B$128,C1462,SONDERZAHLUNGEN!$C$9:$C$128,A1462,SONDERZAHLUNGEN!$H$9:$H$128,"OK",SONDERZAHLUNGEN!$F$9:$F$128,"Ja")-G1462))</x:f>
      </x:c>
    </x:row>
    <x:row r="1463" ht="19" customHeight="1">
      <x:c r="A1463" s="90" t="n">
        <x:f>MONATSBUDGET!$A$80</x:f>
        <x:v>48427</x:v>
      </x:c>
      <x:c r="B1463" t="n">
        <x:f>4</x:f>
        <x:v>4</x:v>
      </x:c>
      <x:c r="C1463" t="str">
        <x:f>IF($N$12="","",$N$12)</x:f>
      </x:c>
      <x:c r="D1463" s="88" t="str">
        <x:f>IF(C1463="","",I1443)</x:f>
      </x:c>
      <x:c r="E1463" s="88" t="str">
        <x:f>IF(C1463="","",ROUND(D1463*$P$12/12,2))</x:f>
      </x:c>
      <x:c r="F1463" s="88" t="str">
        <x:f>IF(C1463="","",MIN(D1463+E1463,$Q$12))</x:f>
      </x:c>
      <x:c r="G1463" s="88" t="str">
        <x:f>IF(C1463="","",MIN(MAX(0,D1463+E1463-F1463),SUMIFS(SONDERZAHLUNGEN!$E$9:$E$128,SONDERZAHLUNGEN!$B$9:$B$128,C1463,SONDERZAHLUNGEN!$C$9:$C$128,A1463,SONDERZAHLUNGEN!$H$9:$H$128,"OK",SONDERZAHLUNGEN!$F$9:$F$128,"Ja")))</x:f>
      </x:c>
      <x:c r="H1463" s="88" t="str">
        <x:f>IF(C1463="","",MIN(MAX(0,D1463+E1463-F1463-G1463),MAX(0,IF(MONATSBUDGET!$C$80="",0,MONATSBUDGET!$C$80)-SUM(F1460:F1479)-SUM(H1460:H1462))))</x:f>
      </x:c>
      <x:c r="I1463" s="88" t="str">
        <x:f>IF(C1463="","",MAX(0,ROUND(D1463+E1463-F1463-G1463-H1463,2)))</x:f>
      </x:c>
      <x:c r="J1463" s="88" t="str">
        <x:f>IF(C1463="","",F1463+G1463+H1463)</x:f>
      </x:c>
      <x:c r="K1463" s="88" t="str">
        <x:f>IF(C1463="","",MAX(0,SUMIFS(SONDERZAHLUNGEN!$E$9:$E$128,SONDERZAHLUNGEN!$B$9:$B$128,C1463,SONDERZAHLUNGEN!$C$9:$C$128,A1463,SONDERZAHLUNGEN!$H$9:$H$128,"OK",SONDERZAHLUNGEN!$F$9:$F$128,"Ja")-G1463))</x:f>
      </x:c>
    </x:row>
    <x:row r="1464" ht="19" customHeight="1">
      <x:c r="A1464" s="90" t="n">
        <x:f>MONATSBUDGET!$A$80</x:f>
        <x:v>48427</x:v>
      </x:c>
      <x:c r="B1464" t="n">
        <x:f>5</x:f>
        <x:v>5</x:v>
      </x:c>
      <x:c r="C1464" t="str">
        <x:f>IF($N$13="","",$N$13)</x:f>
      </x:c>
      <x:c r="D1464" s="88" t="str">
        <x:f>IF(C1464="","",I1444)</x:f>
      </x:c>
      <x:c r="E1464" s="88" t="str">
        <x:f>IF(C1464="","",ROUND(D1464*$P$13/12,2))</x:f>
      </x:c>
      <x:c r="F1464" s="88" t="str">
        <x:f>IF(C1464="","",MIN(D1464+E1464,$Q$13))</x:f>
      </x:c>
      <x:c r="G1464" s="88" t="str">
        <x:f>IF(C1464="","",MIN(MAX(0,D1464+E1464-F1464),SUMIFS(SONDERZAHLUNGEN!$E$9:$E$128,SONDERZAHLUNGEN!$B$9:$B$128,C1464,SONDERZAHLUNGEN!$C$9:$C$128,A1464,SONDERZAHLUNGEN!$H$9:$H$128,"OK",SONDERZAHLUNGEN!$F$9:$F$128,"Ja")))</x:f>
      </x:c>
      <x:c r="H1464" s="88" t="str">
        <x:f>IF(C1464="","",MIN(MAX(0,D1464+E1464-F1464-G1464),MAX(0,IF(MONATSBUDGET!$C$80="",0,MONATSBUDGET!$C$80)-SUM(F1460:F1479)-SUM(H1460:H1463))))</x:f>
      </x:c>
      <x:c r="I1464" s="88" t="str">
        <x:f>IF(C1464="","",MAX(0,ROUND(D1464+E1464-F1464-G1464-H1464,2)))</x:f>
      </x:c>
      <x:c r="J1464" s="88" t="str">
        <x:f>IF(C1464="","",F1464+G1464+H1464)</x:f>
      </x:c>
      <x:c r="K1464" s="88" t="str">
        <x:f>IF(C1464="","",MAX(0,SUMIFS(SONDERZAHLUNGEN!$E$9:$E$128,SONDERZAHLUNGEN!$B$9:$B$128,C1464,SONDERZAHLUNGEN!$C$9:$C$128,A1464,SONDERZAHLUNGEN!$H$9:$H$128,"OK",SONDERZAHLUNGEN!$F$9:$F$128,"Ja")-G1464))</x:f>
      </x:c>
    </x:row>
    <x:row r="1465" ht="19" customHeight="1">
      <x:c r="A1465" s="90" t="n">
        <x:f>MONATSBUDGET!$A$80</x:f>
        <x:v>48427</x:v>
      </x:c>
      <x:c r="B1465" t="n">
        <x:f>6</x:f>
        <x:v>6</x:v>
      </x:c>
      <x:c r="C1465" t="str">
        <x:f>IF($N$14="","",$N$14)</x:f>
      </x:c>
      <x:c r="D1465" s="88" t="str">
        <x:f>IF(C1465="","",I1445)</x:f>
      </x:c>
      <x:c r="E1465" s="88" t="str">
        <x:f>IF(C1465="","",ROUND(D1465*$P$14/12,2))</x:f>
      </x:c>
      <x:c r="F1465" s="88" t="str">
        <x:f>IF(C1465="","",MIN(D1465+E1465,$Q$14))</x:f>
      </x:c>
      <x:c r="G1465" s="88" t="str">
        <x:f>IF(C1465="","",MIN(MAX(0,D1465+E1465-F1465),SUMIFS(SONDERZAHLUNGEN!$E$9:$E$128,SONDERZAHLUNGEN!$B$9:$B$128,C1465,SONDERZAHLUNGEN!$C$9:$C$128,A1465,SONDERZAHLUNGEN!$H$9:$H$128,"OK",SONDERZAHLUNGEN!$F$9:$F$128,"Ja")))</x:f>
      </x:c>
      <x:c r="H1465" s="88" t="str">
        <x:f>IF(C1465="","",MIN(MAX(0,D1465+E1465-F1465-G1465),MAX(0,IF(MONATSBUDGET!$C$80="",0,MONATSBUDGET!$C$80)-SUM(F1460:F1479)-SUM(H1460:H1464))))</x:f>
      </x:c>
      <x:c r="I1465" s="88" t="str">
        <x:f>IF(C1465="","",MAX(0,ROUND(D1465+E1465-F1465-G1465-H1465,2)))</x:f>
      </x:c>
      <x:c r="J1465" s="88" t="str">
        <x:f>IF(C1465="","",F1465+G1465+H1465)</x:f>
      </x:c>
      <x:c r="K1465" s="88" t="str">
        <x:f>IF(C1465="","",MAX(0,SUMIFS(SONDERZAHLUNGEN!$E$9:$E$128,SONDERZAHLUNGEN!$B$9:$B$128,C1465,SONDERZAHLUNGEN!$C$9:$C$128,A1465,SONDERZAHLUNGEN!$H$9:$H$128,"OK",SONDERZAHLUNGEN!$F$9:$F$128,"Ja")-G1465))</x:f>
      </x:c>
    </x:row>
    <x:row r="1466" ht="19" customHeight="1">
      <x:c r="A1466" s="90" t="n">
        <x:f>MONATSBUDGET!$A$80</x:f>
        <x:v>48427</x:v>
      </x:c>
      <x:c r="B1466" t="n">
        <x:f>7</x:f>
        <x:v>7</x:v>
      </x:c>
      <x:c r="C1466" t="str">
        <x:f>IF($N$15="","",$N$15)</x:f>
      </x:c>
      <x:c r="D1466" s="88" t="str">
        <x:f>IF(C1466="","",I1446)</x:f>
      </x:c>
      <x:c r="E1466" s="88" t="str">
        <x:f>IF(C1466="","",ROUND(D1466*$P$15/12,2))</x:f>
      </x:c>
      <x:c r="F1466" s="88" t="str">
        <x:f>IF(C1466="","",MIN(D1466+E1466,$Q$15))</x:f>
      </x:c>
      <x:c r="G1466" s="88" t="str">
        <x:f>IF(C1466="","",MIN(MAX(0,D1466+E1466-F1466),SUMIFS(SONDERZAHLUNGEN!$E$9:$E$128,SONDERZAHLUNGEN!$B$9:$B$128,C1466,SONDERZAHLUNGEN!$C$9:$C$128,A1466,SONDERZAHLUNGEN!$H$9:$H$128,"OK",SONDERZAHLUNGEN!$F$9:$F$128,"Ja")))</x:f>
      </x:c>
      <x:c r="H1466" s="88" t="str">
        <x:f>IF(C1466="","",MIN(MAX(0,D1466+E1466-F1466-G1466),MAX(0,IF(MONATSBUDGET!$C$80="",0,MONATSBUDGET!$C$80)-SUM(F1460:F1479)-SUM(H1460:H1465))))</x:f>
      </x:c>
      <x:c r="I1466" s="88" t="str">
        <x:f>IF(C1466="","",MAX(0,ROUND(D1466+E1466-F1466-G1466-H1466,2)))</x:f>
      </x:c>
      <x:c r="J1466" s="88" t="str">
        <x:f>IF(C1466="","",F1466+G1466+H1466)</x:f>
      </x:c>
      <x:c r="K1466" s="88" t="str">
        <x:f>IF(C1466="","",MAX(0,SUMIFS(SONDERZAHLUNGEN!$E$9:$E$128,SONDERZAHLUNGEN!$B$9:$B$128,C1466,SONDERZAHLUNGEN!$C$9:$C$128,A1466,SONDERZAHLUNGEN!$H$9:$H$128,"OK",SONDERZAHLUNGEN!$F$9:$F$128,"Ja")-G1466))</x:f>
      </x:c>
    </x:row>
    <x:row r="1467" ht="19" customHeight="1">
      <x:c r="A1467" s="90" t="n">
        <x:f>MONATSBUDGET!$A$80</x:f>
        <x:v>48427</x:v>
      </x:c>
      <x:c r="B1467" t="n">
        <x:f>8</x:f>
        <x:v>8</x:v>
      </x:c>
      <x:c r="C1467" t="str">
        <x:f>IF($N$16="","",$N$16)</x:f>
      </x:c>
      <x:c r="D1467" s="88" t="str">
        <x:f>IF(C1467="","",I1447)</x:f>
      </x:c>
      <x:c r="E1467" s="88" t="str">
        <x:f>IF(C1467="","",ROUND(D1467*$P$16/12,2))</x:f>
      </x:c>
      <x:c r="F1467" s="88" t="str">
        <x:f>IF(C1467="","",MIN(D1467+E1467,$Q$16))</x:f>
      </x:c>
      <x:c r="G1467" s="88" t="str">
        <x:f>IF(C1467="","",MIN(MAX(0,D1467+E1467-F1467),SUMIFS(SONDERZAHLUNGEN!$E$9:$E$128,SONDERZAHLUNGEN!$B$9:$B$128,C1467,SONDERZAHLUNGEN!$C$9:$C$128,A1467,SONDERZAHLUNGEN!$H$9:$H$128,"OK",SONDERZAHLUNGEN!$F$9:$F$128,"Ja")))</x:f>
      </x:c>
      <x:c r="H1467" s="88" t="str">
        <x:f>IF(C1467="","",MIN(MAX(0,D1467+E1467-F1467-G1467),MAX(0,IF(MONATSBUDGET!$C$80="",0,MONATSBUDGET!$C$80)-SUM(F1460:F1479)-SUM(H1460:H1466))))</x:f>
      </x:c>
      <x:c r="I1467" s="88" t="str">
        <x:f>IF(C1467="","",MAX(0,ROUND(D1467+E1467-F1467-G1467-H1467,2)))</x:f>
      </x:c>
      <x:c r="J1467" s="88" t="str">
        <x:f>IF(C1467="","",F1467+G1467+H1467)</x:f>
      </x:c>
      <x:c r="K1467" s="88" t="str">
        <x:f>IF(C1467="","",MAX(0,SUMIFS(SONDERZAHLUNGEN!$E$9:$E$128,SONDERZAHLUNGEN!$B$9:$B$128,C1467,SONDERZAHLUNGEN!$C$9:$C$128,A1467,SONDERZAHLUNGEN!$H$9:$H$128,"OK",SONDERZAHLUNGEN!$F$9:$F$128,"Ja")-G1467))</x:f>
      </x:c>
    </x:row>
    <x:row r="1468" ht="19" customHeight="1">
      <x:c r="A1468" s="90" t="n">
        <x:f>MONATSBUDGET!$A$80</x:f>
        <x:v>48427</x:v>
      </x:c>
      <x:c r="B1468" t="n">
        <x:f>9</x:f>
        <x:v>9</x:v>
      </x:c>
      <x:c r="C1468" t="str">
        <x:f>IF($N$17="","",$N$17)</x:f>
      </x:c>
      <x:c r="D1468" s="88" t="str">
        <x:f>IF(C1468="","",I1448)</x:f>
      </x:c>
      <x:c r="E1468" s="88" t="str">
        <x:f>IF(C1468="","",ROUND(D1468*$P$17/12,2))</x:f>
      </x:c>
      <x:c r="F1468" s="88" t="str">
        <x:f>IF(C1468="","",MIN(D1468+E1468,$Q$17))</x:f>
      </x:c>
      <x:c r="G1468" s="88" t="str">
        <x:f>IF(C1468="","",MIN(MAX(0,D1468+E1468-F1468),SUMIFS(SONDERZAHLUNGEN!$E$9:$E$128,SONDERZAHLUNGEN!$B$9:$B$128,C1468,SONDERZAHLUNGEN!$C$9:$C$128,A1468,SONDERZAHLUNGEN!$H$9:$H$128,"OK",SONDERZAHLUNGEN!$F$9:$F$128,"Ja")))</x:f>
      </x:c>
      <x:c r="H1468" s="88" t="str">
        <x:f>IF(C1468="","",MIN(MAX(0,D1468+E1468-F1468-G1468),MAX(0,IF(MONATSBUDGET!$C$80="",0,MONATSBUDGET!$C$80)-SUM(F1460:F1479)-SUM(H1460:H1467))))</x:f>
      </x:c>
      <x:c r="I1468" s="88" t="str">
        <x:f>IF(C1468="","",MAX(0,ROUND(D1468+E1468-F1468-G1468-H1468,2)))</x:f>
      </x:c>
      <x:c r="J1468" s="88" t="str">
        <x:f>IF(C1468="","",F1468+G1468+H1468)</x:f>
      </x:c>
      <x:c r="K1468" s="88" t="str">
        <x:f>IF(C1468="","",MAX(0,SUMIFS(SONDERZAHLUNGEN!$E$9:$E$128,SONDERZAHLUNGEN!$B$9:$B$128,C1468,SONDERZAHLUNGEN!$C$9:$C$128,A1468,SONDERZAHLUNGEN!$H$9:$H$128,"OK",SONDERZAHLUNGEN!$F$9:$F$128,"Ja")-G1468))</x:f>
      </x:c>
    </x:row>
    <x:row r="1469" ht="19" customHeight="1">
      <x:c r="A1469" s="90" t="n">
        <x:f>MONATSBUDGET!$A$80</x:f>
        <x:v>48427</x:v>
      </x:c>
      <x:c r="B1469" t="n">
        <x:f>10</x:f>
        <x:v>10</x:v>
      </x:c>
      <x:c r="C1469" t="str">
        <x:f>IF($N$18="","",$N$18)</x:f>
      </x:c>
      <x:c r="D1469" s="88" t="str">
        <x:f>IF(C1469="","",I1449)</x:f>
      </x:c>
      <x:c r="E1469" s="88" t="str">
        <x:f>IF(C1469="","",ROUND(D1469*$P$18/12,2))</x:f>
      </x:c>
      <x:c r="F1469" s="88" t="str">
        <x:f>IF(C1469="","",MIN(D1469+E1469,$Q$18))</x:f>
      </x:c>
      <x:c r="G1469" s="88" t="str">
        <x:f>IF(C1469="","",MIN(MAX(0,D1469+E1469-F1469),SUMIFS(SONDERZAHLUNGEN!$E$9:$E$128,SONDERZAHLUNGEN!$B$9:$B$128,C1469,SONDERZAHLUNGEN!$C$9:$C$128,A1469,SONDERZAHLUNGEN!$H$9:$H$128,"OK",SONDERZAHLUNGEN!$F$9:$F$128,"Ja")))</x:f>
      </x:c>
      <x:c r="H1469" s="88" t="str">
        <x:f>IF(C1469="","",MIN(MAX(0,D1469+E1469-F1469-G1469),MAX(0,IF(MONATSBUDGET!$C$80="",0,MONATSBUDGET!$C$80)-SUM(F1460:F1479)-SUM(H1460:H1468))))</x:f>
      </x:c>
      <x:c r="I1469" s="88" t="str">
        <x:f>IF(C1469="","",MAX(0,ROUND(D1469+E1469-F1469-G1469-H1469,2)))</x:f>
      </x:c>
      <x:c r="J1469" s="88" t="str">
        <x:f>IF(C1469="","",F1469+G1469+H1469)</x:f>
      </x:c>
      <x:c r="K1469" s="88" t="str">
        <x:f>IF(C1469="","",MAX(0,SUMIFS(SONDERZAHLUNGEN!$E$9:$E$128,SONDERZAHLUNGEN!$B$9:$B$128,C1469,SONDERZAHLUNGEN!$C$9:$C$128,A1469,SONDERZAHLUNGEN!$H$9:$H$128,"OK",SONDERZAHLUNGEN!$F$9:$F$128,"Ja")-G1469))</x:f>
      </x:c>
    </x:row>
    <x:row r="1470" ht="19" customHeight="1">
      <x:c r="A1470" s="90" t="n">
        <x:f>MONATSBUDGET!$A$80</x:f>
        <x:v>48427</x:v>
      </x:c>
      <x:c r="B1470" t="n">
        <x:f>11</x:f>
        <x:v>11</x:v>
      </x:c>
      <x:c r="C1470" t="str">
        <x:f>IF($N$19="","",$N$19)</x:f>
      </x:c>
      <x:c r="D1470" s="88" t="str">
        <x:f>IF(C1470="","",I1450)</x:f>
      </x:c>
      <x:c r="E1470" s="88" t="str">
        <x:f>IF(C1470="","",ROUND(D1470*$P$19/12,2))</x:f>
      </x:c>
      <x:c r="F1470" s="88" t="str">
        <x:f>IF(C1470="","",MIN(D1470+E1470,$Q$19))</x:f>
      </x:c>
      <x:c r="G1470" s="88" t="str">
        <x:f>IF(C1470="","",MIN(MAX(0,D1470+E1470-F1470),SUMIFS(SONDERZAHLUNGEN!$E$9:$E$128,SONDERZAHLUNGEN!$B$9:$B$128,C1470,SONDERZAHLUNGEN!$C$9:$C$128,A1470,SONDERZAHLUNGEN!$H$9:$H$128,"OK",SONDERZAHLUNGEN!$F$9:$F$128,"Ja")))</x:f>
      </x:c>
      <x:c r="H1470" s="88" t="str">
        <x:f>IF(C1470="","",MIN(MAX(0,D1470+E1470-F1470-G1470),MAX(0,IF(MONATSBUDGET!$C$80="",0,MONATSBUDGET!$C$80)-SUM(F1460:F1479)-SUM(H1460:H1469))))</x:f>
      </x:c>
      <x:c r="I1470" s="88" t="str">
        <x:f>IF(C1470="","",MAX(0,ROUND(D1470+E1470-F1470-G1470-H1470,2)))</x:f>
      </x:c>
      <x:c r="J1470" s="88" t="str">
        <x:f>IF(C1470="","",F1470+G1470+H1470)</x:f>
      </x:c>
      <x:c r="K1470" s="88" t="str">
        <x:f>IF(C1470="","",MAX(0,SUMIFS(SONDERZAHLUNGEN!$E$9:$E$128,SONDERZAHLUNGEN!$B$9:$B$128,C1470,SONDERZAHLUNGEN!$C$9:$C$128,A1470,SONDERZAHLUNGEN!$H$9:$H$128,"OK",SONDERZAHLUNGEN!$F$9:$F$128,"Ja")-G1470))</x:f>
      </x:c>
    </x:row>
    <x:row r="1471" ht="19" customHeight="1">
      <x:c r="A1471" s="90" t="n">
        <x:f>MONATSBUDGET!$A$80</x:f>
        <x:v>48427</x:v>
      </x:c>
      <x:c r="B1471" t="n">
        <x:f>12</x:f>
        <x:v>12</x:v>
      </x:c>
      <x:c r="C1471" t="str">
        <x:f>IF($N$20="","",$N$20)</x:f>
      </x:c>
      <x:c r="D1471" s="88" t="str">
        <x:f>IF(C1471="","",I1451)</x:f>
      </x:c>
      <x:c r="E1471" s="88" t="str">
        <x:f>IF(C1471="","",ROUND(D1471*$P$20/12,2))</x:f>
      </x:c>
      <x:c r="F1471" s="88" t="str">
        <x:f>IF(C1471="","",MIN(D1471+E1471,$Q$20))</x:f>
      </x:c>
      <x:c r="G1471" s="88" t="str">
        <x:f>IF(C1471="","",MIN(MAX(0,D1471+E1471-F1471),SUMIFS(SONDERZAHLUNGEN!$E$9:$E$128,SONDERZAHLUNGEN!$B$9:$B$128,C1471,SONDERZAHLUNGEN!$C$9:$C$128,A1471,SONDERZAHLUNGEN!$H$9:$H$128,"OK",SONDERZAHLUNGEN!$F$9:$F$128,"Ja")))</x:f>
      </x:c>
      <x:c r="H1471" s="88" t="str">
        <x:f>IF(C1471="","",MIN(MAX(0,D1471+E1471-F1471-G1471),MAX(0,IF(MONATSBUDGET!$C$80="",0,MONATSBUDGET!$C$80)-SUM(F1460:F1479)-SUM(H1460:H1470))))</x:f>
      </x:c>
      <x:c r="I1471" s="88" t="str">
        <x:f>IF(C1471="","",MAX(0,ROUND(D1471+E1471-F1471-G1471-H1471,2)))</x:f>
      </x:c>
      <x:c r="J1471" s="88" t="str">
        <x:f>IF(C1471="","",F1471+G1471+H1471)</x:f>
      </x:c>
      <x:c r="K1471" s="88" t="str">
        <x:f>IF(C1471="","",MAX(0,SUMIFS(SONDERZAHLUNGEN!$E$9:$E$128,SONDERZAHLUNGEN!$B$9:$B$128,C1471,SONDERZAHLUNGEN!$C$9:$C$128,A1471,SONDERZAHLUNGEN!$H$9:$H$128,"OK",SONDERZAHLUNGEN!$F$9:$F$128,"Ja")-G1471))</x:f>
      </x:c>
    </x:row>
    <x:row r="1472" ht="19" customHeight="1">
      <x:c r="A1472" s="90" t="n">
        <x:f>MONATSBUDGET!$A$80</x:f>
        <x:v>48427</x:v>
      </x:c>
      <x:c r="B1472" t="n">
        <x:f>13</x:f>
        <x:v>13</x:v>
      </x:c>
      <x:c r="C1472" t="str">
        <x:f>IF($N$21="","",$N$21)</x:f>
      </x:c>
      <x:c r="D1472" s="88" t="str">
        <x:f>IF(C1472="","",I1452)</x:f>
      </x:c>
      <x:c r="E1472" s="88" t="str">
        <x:f>IF(C1472="","",ROUND(D1472*$P$21/12,2))</x:f>
      </x:c>
      <x:c r="F1472" s="88" t="str">
        <x:f>IF(C1472="","",MIN(D1472+E1472,$Q$21))</x:f>
      </x:c>
      <x:c r="G1472" s="88" t="str">
        <x:f>IF(C1472="","",MIN(MAX(0,D1472+E1472-F1472),SUMIFS(SONDERZAHLUNGEN!$E$9:$E$128,SONDERZAHLUNGEN!$B$9:$B$128,C1472,SONDERZAHLUNGEN!$C$9:$C$128,A1472,SONDERZAHLUNGEN!$H$9:$H$128,"OK",SONDERZAHLUNGEN!$F$9:$F$128,"Ja")))</x:f>
      </x:c>
      <x:c r="H1472" s="88" t="str">
        <x:f>IF(C1472="","",MIN(MAX(0,D1472+E1472-F1472-G1472),MAX(0,IF(MONATSBUDGET!$C$80="",0,MONATSBUDGET!$C$80)-SUM(F1460:F1479)-SUM(H1460:H1471))))</x:f>
      </x:c>
      <x:c r="I1472" s="88" t="str">
        <x:f>IF(C1472="","",MAX(0,ROUND(D1472+E1472-F1472-G1472-H1472,2)))</x:f>
      </x:c>
      <x:c r="J1472" s="88" t="str">
        <x:f>IF(C1472="","",F1472+G1472+H1472)</x:f>
      </x:c>
      <x:c r="K1472" s="88" t="str">
        <x:f>IF(C1472="","",MAX(0,SUMIFS(SONDERZAHLUNGEN!$E$9:$E$128,SONDERZAHLUNGEN!$B$9:$B$128,C1472,SONDERZAHLUNGEN!$C$9:$C$128,A1472,SONDERZAHLUNGEN!$H$9:$H$128,"OK",SONDERZAHLUNGEN!$F$9:$F$128,"Ja")-G1472))</x:f>
      </x:c>
    </x:row>
    <x:row r="1473" ht="19" customHeight="1">
      <x:c r="A1473" s="90" t="n">
        <x:f>MONATSBUDGET!$A$80</x:f>
        <x:v>48427</x:v>
      </x:c>
      <x:c r="B1473" t="n">
        <x:f>14</x:f>
        <x:v>14</x:v>
      </x:c>
      <x:c r="C1473" t="str">
        <x:f>IF($N$22="","",$N$22)</x:f>
      </x:c>
      <x:c r="D1473" s="88" t="str">
        <x:f>IF(C1473="","",I1453)</x:f>
      </x:c>
      <x:c r="E1473" s="88" t="str">
        <x:f>IF(C1473="","",ROUND(D1473*$P$22/12,2))</x:f>
      </x:c>
      <x:c r="F1473" s="88" t="str">
        <x:f>IF(C1473="","",MIN(D1473+E1473,$Q$22))</x:f>
      </x:c>
      <x:c r="G1473" s="88" t="str">
        <x:f>IF(C1473="","",MIN(MAX(0,D1473+E1473-F1473),SUMIFS(SONDERZAHLUNGEN!$E$9:$E$128,SONDERZAHLUNGEN!$B$9:$B$128,C1473,SONDERZAHLUNGEN!$C$9:$C$128,A1473,SONDERZAHLUNGEN!$H$9:$H$128,"OK",SONDERZAHLUNGEN!$F$9:$F$128,"Ja")))</x:f>
      </x:c>
      <x:c r="H1473" s="88" t="str">
        <x:f>IF(C1473="","",MIN(MAX(0,D1473+E1473-F1473-G1473),MAX(0,IF(MONATSBUDGET!$C$80="",0,MONATSBUDGET!$C$80)-SUM(F1460:F1479)-SUM(H1460:H1472))))</x:f>
      </x:c>
      <x:c r="I1473" s="88" t="str">
        <x:f>IF(C1473="","",MAX(0,ROUND(D1473+E1473-F1473-G1473-H1473,2)))</x:f>
      </x:c>
      <x:c r="J1473" s="88" t="str">
        <x:f>IF(C1473="","",F1473+G1473+H1473)</x:f>
      </x:c>
      <x:c r="K1473" s="88" t="str">
        <x:f>IF(C1473="","",MAX(0,SUMIFS(SONDERZAHLUNGEN!$E$9:$E$128,SONDERZAHLUNGEN!$B$9:$B$128,C1473,SONDERZAHLUNGEN!$C$9:$C$128,A1473,SONDERZAHLUNGEN!$H$9:$H$128,"OK",SONDERZAHLUNGEN!$F$9:$F$128,"Ja")-G1473))</x:f>
      </x:c>
    </x:row>
    <x:row r="1474" ht="19" customHeight="1">
      <x:c r="A1474" s="90" t="n">
        <x:f>MONATSBUDGET!$A$80</x:f>
        <x:v>48427</x:v>
      </x:c>
      <x:c r="B1474" t="n">
        <x:f>15</x:f>
        <x:v>15</x:v>
      </x:c>
      <x:c r="C1474" t="str">
        <x:f>IF($N$23="","",$N$23)</x:f>
      </x:c>
      <x:c r="D1474" s="88" t="str">
        <x:f>IF(C1474="","",I1454)</x:f>
      </x:c>
      <x:c r="E1474" s="88" t="str">
        <x:f>IF(C1474="","",ROUND(D1474*$P$23/12,2))</x:f>
      </x:c>
      <x:c r="F1474" s="88" t="str">
        <x:f>IF(C1474="","",MIN(D1474+E1474,$Q$23))</x:f>
      </x:c>
      <x:c r="G1474" s="88" t="str">
        <x:f>IF(C1474="","",MIN(MAX(0,D1474+E1474-F1474),SUMIFS(SONDERZAHLUNGEN!$E$9:$E$128,SONDERZAHLUNGEN!$B$9:$B$128,C1474,SONDERZAHLUNGEN!$C$9:$C$128,A1474,SONDERZAHLUNGEN!$H$9:$H$128,"OK",SONDERZAHLUNGEN!$F$9:$F$128,"Ja")))</x:f>
      </x:c>
      <x:c r="H1474" s="88" t="str">
        <x:f>IF(C1474="","",MIN(MAX(0,D1474+E1474-F1474-G1474),MAX(0,IF(MONATSBUDGET!$C$80="",0,MONATSBUDGET!$C$80)-SUM(F1460:F1479)-SUM(H1460:H1473))))</x:f>
      </x:c>
      <x:c r="I1474" s="88" t="str">
        <x:f>IF(C1474="","",MAX(0,ROUND(D1474+E1474-F1474-G1474-H1474,2)))</x:f>
      </x:c>
      <x:c r="J1474" s="88" t="str">
        <x:f>IF(C1474="","",F1474+G1474+H1474)</x:f>
      </x:c>
      <x:c r="K1474" s="88" t="str">
        <x:f>IF(C1474="","",MAX(0,SUMIFS(SONDERZAHLUNGEN!$E$9:$E$128,SONDERZAHLUNGEN!$B$9:$B$128,C1474,SONDERZAHLUNGEN!$C$9:$C$128,A1474,SONDERZAHLUNGEN!$H$9:$H$128,"OK",SONDERZAHLUNGEN!$F$9:$F$128,"Ja")-G1474))</x:f>
      </x:c>
    </x:row>
    <x:row r="1475" ht="19" customHeight="1">
      <x:c r="A1475" s="90" t="n">
        <x:f>MONATSBUDGET!$A$80</x:f>
        <x:v>48427</x:v>
      </x:c>
      <x:c r="B1475" t="n">
        <x:f>16</x:f>
        <x:v>16</x:v>
      </x:c>
      <x:c r="C1475" t="str">
        <x:f>IF($N$24="","",$N$24)</x:f>
      </x:c>
      <x:c r="D1475" s="88" t="str">
        <x:f>IF(C1475="","",I1455)</x:f>
      </x:c>
      <x:c r="E1475" s="88" t="str">
        <x:f>IF(C1475="","",ROUND(D1475*$P$24/12,2))</x:f>
      </x:c>
      <x:c r="F1475" s="88" t="str">
        <x:f>IF(C1475="","",MIN(D1475+E1475,$Q$24))</x:f>
      </x:c>
      <x:c r="G1475" s="88" t="str">
        <x:f>IF(C1475="","",MIN(MAX(0,D1475+E1475-F1475),SUMIFS(SONDERZAHLUNGEN!$E$9:$E$128,SONDERZAHLUNGEN!$B$9:$B$128,C1475,SONDERZAHLUNGEN!$C$9:$C$128,A1475,SONDERZAHLUNGEN!$H$9:$H$128,"OK",SONDERZAHLUNGEN!$F$9:$F$128,"Ja")))</x:f>
      </x:c>
      <x:c r="H1475" s="88" t="str">
        <x:f>IF(C1475="","",MIN(MAX(0,D1475+E1475-F1475-G1475),MAX(0,IF(MONATSBUDGET!$C$80="",0,MONATSBUDGET!$C$80)-SUM(F1460:F1479)-SUM(H1460:H1474))))</x:f>
      </x:c>
      <x:c r="I1475" s="88" t="str">
        <x:f>IF(C1475="","",MAX(0,ROUND(D1475+E1475-F1475-G1475-H1475,2)))</x:f>
      </x:c>
      <x:c r="J1475" s="88" t="str">
        <x:f>IF(C1475="","",F1475+G1475+H1475)</x:f>
      </x:c>
      <x:c r="K1475" s="88" t="str">
        <x:f>IF(C1475="","",MAX(0,SUMIFS(SONDERZAHLUNGEN!$E$9:$E$128,SONDERZAHLUNGEN!$B$9:$B$128,C1475,SONDERZAHLUNGEN!$C$9:$C$128,A1475,SONDERZAHLUNGEN!$H$9:$H$128,"OK",SONDERZAHLUNGEN!$F$9:$F$128,"Ja")-G1475))</x:f>
      </x:c>
    </x:row>
    <x:row r="1476" ht="19" customHeight="1">
      <x:c r="A1476" s="90" t="n">
        <x:f>MONATSBUDGET!$A$80</x:f>
        <x:v>48427</x:v>
      </x:c>
      <x:c r="B1476" t="n">
        <x:f>17</x:f>
        <x:v>17</x:v>
      </x:c>
      <x:c r="C1476" t="str">
        <x:f>IF($N$25="","",$N$25)</x:f>
      </x:c>
      <x:c r="D1476" s="88" t="str">
        <x:f>IF(C1476="","",I1456)</x:f>
      </x:c>
      <x:c r="E1476" s="88" t="str">
        <x:f>IF(C1476="","",ROUND(D1476*$P$25/12,2))</x:f>
      </x:c>
      <x:c r="F1476" s="88" t="str">
        <x:f>IF(C1476="","",MIN(D1476+E1476,$Q$25))</x:f>
      </x:c>
      <x:c r="G1476" s="88" t="str">
        <x:f>IF(C1476="","",MIN(MAX(0,D1476+E1476-F1476),SUMIFS(SONDERZAHLUNGEN!$E$9:$E$128,SONDERZAHLUNGEN!$B$9:$B$128,C1476,SONDERZAHLUNGEN!$C$9:$C$128,A1476,SONDERZAHLUNGEN!$H$9:$H$128,"OK",SONDERZAHLUNGEN!$F$9:$F$128,"Ja")))</x:f>
      </x:c>
      <x:c r="H1476" s="88" t="str">
        <x:f>IF(C1476="","",MIN(MAX(0,D1476+E1476-F1476-G1476),MAX(0,IF(MONATSBUDGET!$C$80="",0,MONATSBUDGET!$C$80)-SUM(F1460:F1479)-SUM(H1460:H1475))))</x:f>
      </x:c>
      <x:c r="I1476" s="88" t="str">
        <x:f>IF(C1476="","",MAX(0,ROUND(D1476+E1476-F1476-G1476-H1476,2)))</x:f>
      </x:c>
      <x:c r="J1476" s="88" t="str">
        <x:f>IF(C1476="","",F1476+G1476+H1476)</x:f>
      </x:c>
      <x:c r="K1476" s="88" t="str">
        <x:f>IF(C1476="","",MAX(0,SUMIFS(SONDERZAHLUNGEN!$E$9:$E$128,SONDERZAHLUNGEN!$B$9:$B$128,C1476,SONDERZAHLUNGEN!$C$9:$C$128,A1476,SONDERZAHLUNGEN!$H$9:$H$128,"OK",SONDERZAHLUNGEN!$F$9:$F$128,"Ja")-G1476))</x:f>
      </x:c>
    </x:row>
    <x:row r="1477" ht="19" customHeight="1">
      <x:c r="A1477" s="90" t="n">
        <x:f>MONATSBUDGET!$A$80</x:f>
        <x:v>48427</x:v>
      </x:c>
      <x:c r="B1477" t="n">
        <x:f>18</x:f>
        <x:v>18</x:v>
      </x:c>
      <x:c r="C1477" t="str">
        <x:f>IF($N$26="","",$N$26)</x:f>
      </x:c>
      <x:c r="D1477" s="88" t="str">
        <x:f>IF(C1477="","",I1457)</x:f>
      </x:c>
      <x:c r="E1477" s="88" t="str">
        <x:f>IF(C1477="","",ROUND(D1477*$P$26/12,2))</x:f>
      </x:c>
      <x:c r="F1477" s="88" t="str">
        <x:f>IF(C1477="","",MIN(D1477+E1477,$Q$26))</x:f>
      </x:c>
      <x:c r="G1477" s="88" t="str">
        <x:f>IF(C1477="","",MIN(MAX(0,D1477+E1477-F1477),SUMIFS(SONDERZAHLUNGEN!$E$9:$E$128,SONDERZAHLUNGEN!$B$9:$B$128,C1477,SONDERZAHLUNGEN!$C$9:$C$128,A1477,SONDERZAHLUNGEN!$H$9:$H$128,"OK",SONDERZAHLUNGEN!$F$9:$F$128,"Ja")))</x:f>
      </x:c>
      <x:c r="H1477" s="88" t="str">
        <x:f>IF(C1477="","",MIN(MAX(0,D1477+E1477-F1477-G1477),MAX(0,IF(MONATSBUDGET!$C$80="",0,MONATSBUDGET!$C$80)-SUM(F1460:F1479)-SUM(H1460:H1476))))</x:f>
      </x:c>
      <x:c r="I1477" s="88" t="str">
        <x:f>IF(C1477="","",MAX(0,ROUND(D1477+E1477-F1477-G1477-H1477,2)))</x:f>
      </x:c>
      <x:c r="J1477" s="88" t="str">
        <x:f>IF(C1477="","",F1477+G1477+H1477)</x:f>
      </x:c>
      <x:c r="K1477" s="88" t="str">
        <x:f>IF(C1477="","",MAX(0,SUMIFS(SONDERZAHLUNGEN!$E$9:$E$128,SONDERZAHLUNGEN!$B$9:$B$128,C1477,SONDERZAHLUNGEN!$C$9:$C$128,A1477,SONDERZAHLUNGEN!$H$9:$H$128,"OK",SONDERZAHLUNGEN!$F$9:$F$128,"Ja")-G1477))</x:f>
      </x:c>
    </x:row>
    <x:row r="1478" ht="19" customHeight="1">
      <x:c r="A1478" s="90" t="n">
        <x:f>MONATSBUDGET!$A$80</x:f>
        <x:v>48427</x:v>
      </x:c>
      <x:c r="B1478" t="n">
        <x:f>19</x:f>
        <x:v>19</x:v>
      </x:c>
      <x:c r="C1478" t="str">
        <x:f>IF($N$27="","",$N$27)</x:f>
      </x:c>
      <x:c r="D1478" s="88" t="str">
        <x:f>IF(C1478="","",I1458)</x:f>
      </x:c>
      <x:c r="E1478" s="88" t="str">
        <x:f>IF(C1478="","",ROUND(D1478*$P$27/12,2))</x:f>
      </x:c>
      <x:c r="F1478" s="88" t="str">
        <x:f>IF(C1478="","",MIN(D1478+E1478,$Q$27))</x:f>
      </x:c>
      <x:c r="G1478" s="88" t="str">
        <x:f>IF(C1478="","",MIN(MAX(0,D1478+E1478-F1478),SUMIFS(SONDERZAHLUNGEN!$E$9:$E$128,SONDERZAHLUNGEN!$B$9:$B$128,C1478,SONDERZAHLUNGEN!$C$9:$C$128,A1478,SONDERZAHLUNGEN!$H$9:$H$128,"OK",SONDERZAHLUNGEN!$F$9:$F$128,"Ja")))</x:f>
      </x:c>
      <x:c r="H1478" s="88" t="str">
        <x:f>IF(C1478="","",MIN(MAX(0,D1478+E1478-F1478-G1478),MAX(0,IF(MONATSBUDGET!$C$80="",0,MONATSBUDGET!$C$80)-SUM(F1460:F1479)-SUM(H1460:H1477))))</x:f>
      </x:c>
      <x:c r="I1478" s="88" t="str">
        <x:f>IF(C1478="","",MAX(0,ROUND(D1478+E1478-F1478-G1478-H1478,2)))</x:f>
      </x:c>
      <x:c r="J1478" s="88" t="str">
        <x:f>IF(C1478="","",F1478+G1478+H1478)</x:f>
      </x:c>
      <x:c r="K1478" s="88" t="str">
        <x:f>IF(C1478="","",MAX(0,SUMIFS(SONDERZAHLUNGEN!$E$9:$E$128,SONDERZAHLUNGEN!$B$9:$B$128,C1478,SONDERZAHLUNGEN!$C$9:$C$128,A1478,SONDERZAHLUNGEN!$H$9:$H$128,"OK",SONDERZAHLUNGEN!$F$9:$F$128,"Ja")-G1478))</x:f>
      </x:c>
    </x:row>
    <x:row r="1479" ht="19" customHeight="1">
      <x:c r="A1479" s="90" t="n">
        <x:f>MONATSBUDGET!$A$80</x:f>
        <x:v>48427</x:v>
      </x:c>
      <x:c r="B1479" t="n">
        <x:f>20</x:f>
        <x:v>20</x:v>
      </x:c>
      <x:c r="C1479" t="str">
        <x:f>IF($N$28="","",$N$28)</x:f>
      </x:c>
      <x:c r="D1479" s="88" t="str">
        <x:f>IF(C1479="","",I1459)</x:f>
      </x:c>
      <x:c r="E1479" s="88" t="str">
        <x:f>IF(C1479="","",ROUND(D1479*$P$28/12,2))</x:f>
      </x:c>
      <x:c r="F1479" s="88" t="str">
        <x:f>IF(C1479="","",MIN(D1479+E1479,$Q$28))</x:f>
      </x:c>
      <x:c r="G1479" s="88" t="str">
        <x:f>IF(C1479="","",MIN(MAX(0,D1479+E1479-F1479),SUMIFS(SONDERZAHLUNGEN!$E$9:$E$128,SONDERZAHLUNGEN!$B$9:$B$128,C1479,SONDERZAHLUNGEN!$C$9:$C$128,A1479,SONDERZAHLUNGEN!$H$9:$H$128,"OK",SONDERZAHLUNGEN!$F$9:$F$128,"Ja")))</x:f>
      </x:c>
      <x:c r="H1479" s="88" t="str">
        <x:f>IF(C1479="","",MIN(MAX(0,D1479+E1479-F1479-G1479),MAX(0,IF(MONATSBUDGET!$C$80="",0,MONATSBUDGET!$C$80)-SUM(F1460:F1479)-SUM(H1460:H1478))))</x:f>
      </x:c>
      <x:c r="I1479" s="88" t="str">
        <x:f>IF(C1479="","",MAX(0,ROUND(D1479+E1479-F1479-G1479-H1479,2)))</x:f>
      </x:c>
      <x:c r="J1479" s="88" t="str">
        <x:f>IF(C1479="","",F1479+G1479+H1479)</x:f>
      </x:c>
      <x:c r="K1479" s="88" t="str">
        <x:f>IF(C1479="","",MAX(0,SUMIFS(SONDERZAHLUNGEN!$E$9:$E$128,SONDERZAHLUNGEN!$B$9:$B$128,C1479,SONDERZAHLUNGEN!$C$9:$C$128,A1479,SONDERZAHLUNGEN!$H$9:$H$128,"OK",SONDERZAHLUNGEN!$F$9:$F$128,"Ja")-G1479))</x:f>
      </x:c>
    </x:row>
  </x:sheetData>
  <x:mergeCells>
    <x:mergeCell ref="A1:K2"/>
    <x:mergeCell ref="A3:K3"/>
    <x:mergeCell ref="A5:K5"/>
    <x:mergeCell ref="A36:K36"/>
  </x:mergeCells>
  <x:conditionalFormatting sqref="K40:K1479">
    <x:cfRule type="expression" dxfId="7" priority="1">
      <x:formula>AND(ISNUMBER(K40),K40&gt;0)</x:formula>
    </x:cfRule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2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34" hidden="0" customWidth="1"/>
    <x:col min="19" max="19" width="23" hidden="0" customWidth="1"/>
  </x:cols>
  <x:sheetData>
    <x:row r="1" ht="29" customHeight="1">
      <x:c r="A1" s="4" t="str">
        <x:v>NURGELD.DE  /  STRATEGIEVERGLEICH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</x:row>
    <x:row r="3" ht="28" customHeight="1">
      <x:c r="A3" s="10" t="str">
        <x:v>BUDGETGLEICHE SIMULATION  ·  Monatsplan  ·  Zinsen  ·  Laufzeit  ·  mögliche Budgetlücken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10"/>
      <x:c r="Q3" s="10"/>
      <x:c r="R3" s="10"/>
    </x:row>
    <x:row r="4" ht="21" customHeight="1"/>
    <x:row r="5" ht="41" customHeight="1">
      <x:c r="A5" s="37" t="str">
        <x:v>Beide Strategien: identische Startsalden, Zinsen, Monatsbudgets und Sonderzahlungen. Mindestraten oberhalb des Budgets sind eine Finanzierungslücke, keine Zusage.</x:v>
      </x:c>
      <x:c r="B5" s="37"/>
      <x:c r="C5" s="37"/>
      <x:c r="D5" s="37"/>
      <x:c r="E5" s="37"/>
      <x:c r="F5" s="37"/>
      <x:c r="G5" s="37"/>
      <x:c r="H5" s="37"/>
      <x:c r="I5" s="37"/>
      <x:c r="J5" s="37"/>
      <x:c r="K5" s="37"/>
      <x:c r="L5" s="37"/>
      <x:c r="M5" s="37"/>
      <x:c r="N5" s="37"/>
      <x:c r="O5" s="37"/>
      <x:c r="P5" s="37"/>
      <x:c r="Q5" s="37"/>
      <x:c r="R5" s="37"/>
    </x:row>
    <x:row r="6" ht="21" customHeight="1"/>
    <x:row r="7" ht="21" customHeight="1"/>
    <x:row r="8" ht="41" customHeight="1">
      <x:c r="A8" s="66" t="str">
        <x:v>Monat</x:v>
      </x:c>
      <x:c r="B8" s="66" t="str">
        <x:v>Budget (€)</x:v>
      </x:c>
      <x:c r="C8" s="66" t="str">
        <x:v>Schnee: Minimum</x:v>
      </x:c>
      <x:c r="D8" s="66" t="str">
        <x:v>Schnee: Extra</x:v>
      </x:c>
      <x:c r="E8" s="66" t="str">
        <x:v>Schnee: Sonder</x:v>
      </x:c>
      <x:c r="F8" s="66" t="str">
        <x:v>Schnee: Zinsen</x:v>
      </x:c>
      <x:c r="G8" s="66" t="str">
        <x:v>Schnee: Zahlung</x:v>
      </x:c>
      <x:c r="H8" s="66" t="str">
        <x:v>Schnee: Rest</x:v>
      </x:c>
      <x:c r="I8" s="66" t="str">
        <x:v>Lawine: Minimum</x:v>
      </x:c>
      <x:c r="J8" s="66" t="str">
        <x:v>Lawine: Extra</x:v>
      </x:c>
      <x:c r="K8" s="66" t="str">
        <x:v>Lawine: Sonder</x:v>
      </x:c>
      <x:c r="L8" s="66" t="str">
        <x:v>Lawine: Zinsen</x:v>
      </x:c>
      <x:c r="M8" s="66" t="str">
        <x:v>Lawine: Zahlung</x:v>
      </x:c>
      <x:c r="N8" s="66" t="str">
        <x:v>Lawine: Rest</x:v>
      </x:c>
      <x:c r="O8" s="66" t="str">
        <x:v>Budgetlücke Schnee</x:v>
      </x:c>
      <x:c r="P8" s="66" t="str">
        <x:v>Budgetlücke Lawine</x:v>
      </x:c>
      <x:c r="Q8" s="66" t="str">
        <x:v>Ungenutzte Sonder Schnee (€)</x:v>
      </x:c>
      <x:c r="R8" s="66" t="str">
        <x:v>Prüfstatus</x:v>
      </x:c>
      <x:c r="S8" s="65" t="str">
        <x:v>Ungenutzte Sonder Lawine (€)</x:v>
      </x:c>
    </x:row>
    <x:row r="9" ht="21" customHeight="1">
      <x:c r="A9" s="90" t="n">
        <x:f>MONATSBUDGET!A9</x:f>
        <x:v>46266</x:v>
      </x:c>
      <x:c r="B9" s="88" t="str">
        <x:f>MONATSBUDGET!C9</x:f>
      </x:c>
      <x:c r="C9" s="88" t="n">
        <x:f>SUM('SCHNEEBALL'!F40:F59)</x:f>
        <x:v>0</x:v>
      </x:c>
      <x:c r="D9" s="88" t="n">
        <x:f>SUM('SCHNEEBALL'!H40:H59)</x:f>
        <x:v>0</x:v>
      </x:c>
      <x:c r="E9" s="88" t="n">
        <x:f>SUM('SCHNEEBALL'!G40:G59)</x:f>
        <x:v>0</x:v>
      </x:c>
      <x:c r="F9" s="88" t="n">
        <x:f>SUM('SCHNEEBALL'!E40:E59)</x:f>
        <x:v>0</x:v>
      </x:c>
      <x:c r="G9" s="88" t="n">
        <x:f>C9+D9+E9</x:f>
        <x:v>0</x:v>
      </x:c>
      <x:c r="H9" s="88" t="n">
        <x:f>SUM('SCHNEEBALL'!I40:I59)</x:f>
        <x:v>0</x:v>
      </x:c>
      <x:c r="I9" s="88" t="n">
        <x:f>SUM('ZINS-LAWINE'!F40:F59)</x:f>
        <x:v>0</x:v>
      </x:c>
      <x:c r="J9" s="88" t="n">
        <x:f>SUM('ZINS-LAWINE'!H40:H59)</x:f>
        <x:v>0</x:v>
      </x:c>
      <x:c r="K9" s="88" t="n">
        <x:f>SUM('ZINS-LAWINE'!G40:G59)</x:f>
        <x:v>0</x:v>
      </x:c>
      <x:c r="L9" s="88" t="n">
        <x:f>SUM('ZINS-LAWINE'!E40:E59)</x:f>
        <x:v>0</x:v>
      </x:c>
      <x:c r="M9" s="88" t="n">
        <x:f>I9+J9+K9</x:f>
        <x:v>0</x:v>
      </x:c>
      <x:c r="N9" s="88" t="n">
        <x:f>SUM('ZINS-LAWINE'!I40:I59)</x:f>
        <x:v>0</x:v>
      </x:c>
      <x:c r="O9" s="88" t="str">
        <x:f>IF(B9="","",MAX(0,C9-B9))</x:f>
      </x:c>
      <x:c r="P9" s="88" t="str">
        <x:f>IF(B9="","",MAX(0,I9-B9))</x:f>
      </x:c>
      <x:c r="Q9" s="88" t="n">
        <x:f>SUM('SCHNEEBALL'!K40:K59)</x:f>
        <x:v>0</x:v>
      </x:c>
      <x:c r="R9" t="str">
        <x:f>IF(B9="","BUDGET FEHLT",IF(OR(O9&gt;0,P9&gt;0),"NICHT FINANZIERBAR",IF(OR(Q9&gt;0,S9&gt;0),"SONDERBETRAG ÜBRIG","OK")))</x:f>
        <x:v>BUDGET FEHLT</x:v>
      </x:c>
      <x:c r="S9" s="88" t="n">
        <x:f>SUM('ZINS-LAWINE'!K40:K59)</x:f>
        <x:v>0</x:v>
      </x:c>
    </x:row>
    <x:row r="10" ht="21" customHeight="1">
      <x:c r="A10" s="90" t="n">
        <x:f>MONATSBUDGET!A10</x:f>
        <x:v>46296</x:v>
      </x:c>
      <x:c r="B10" s="88" t="str">
        <x:f>MONATSBUDGET!C10</x:f>
      </x:c>
      <x:c r="C10" s="88" t="n">
        <x:f>SUM('SCHNEEBALL'!F60:F79)</x:f>
        <x:v>0</x:v>
      </x:c>
      <x:c r="D10" s="88" t="n">
        <x:f>SUM('SCHNEEBALL'!H60:H79)</x:f>
        <x:v>0</x:v>
      </x:c>
      <x:c r="E10" s="88" t="n">
        <x:f>SUM('SCHNEEBALL'!G60:G79)</x:f>
        <x:v>0</x:v>
      </x:c>
      <x:c r="F10" s="88" t="n">
        <x:f>SUM('SCHNEEBALL'!E60:E79)</x:f>
        <x:v>0</x:v>
      </x:c>
      <x:c r="G10" s="88" t="n">
        <x:f>C10+D10+E10</x:f>
        <x:v>0</x:v>
      </x:c>
      <x:c r="H10" s="88" t="n">
        <x:f>SUM('SCHNEEBALL'!I60:I79)</x:f>
        <x:v>0</x:v>
      </x:c>
      <x:c r="I10" s="88" t="n">
        <x:f>SUM('ZINS-LAWINE'!F60:F79)</x:f>
        <x:v>0</x:v>
      </x:c>
      <x:c r="J10" s="88" t="n">
        <x:f>SUM('ZINS-LAWINE'!H60:H79)</x:f>
        <x:v>0</x:v>
      </x:c>
      <x:c r="K10" s="88" t="n">
        <x:f>SUM('ZINS-LAWINE'!G60:G79)</x:f>
        <x:v>0</x:v>
      </x:c>
      <x:c r="L10" s="88" t="n">
        <x:f>SUM('ZINS-LAWINE'!E60:E79)</x:f>
        <x:v>0</x:v>
      </x:c>
      <x:c r="M10" s="88" t="n">
        <x:f>I10+J10+K10</x:f>
        <x:v>0</x:v>
      </x:c>
      <x:c r="N10" s="88" t="n">
        <x:f>SUM('ZINS-LAWINE'!I60:I79)</x:f>
        <x:v>0</x:v>
      </x:c>
      <x:c r="O10" s="88" t="str">
        <x:f>IF(B10="","",MAX(0,C10-B10))</x:f>
      </x:c>
      <x:c r="P10" s="88" t="str">
        <x:f>IF(B10="","",MAX(0,I10-B10))</x:f>
      </x:c>
      <x:c r="Q10" s="88" t="n">
        <x:f>SUM('SCHNEEBALL'!K60:K79)</x:f>
        <x:v>0</x:v>
      </x:c>
      <x:c r="R10" t="str">
        <x:f>IF(B10="","BUDGET FEHLT",IF(OR(O10&gt;0,P10&gt;0),"NICHT FINANZIERBAR",IF(OR(Q10&gt;0,S10&gt;0),"SONDERBETRAG ÜBRIG","OK")))</x:f>
        <x:v>BUDGET FEHLT</x:v>
      </x:c>
      <x:c r="S10" s="88" t="n">
        <x:f>SUM('ZINS-LAWINE'!K60:K79)</x:f>
        <x:v>0</x:v>
      </x:c>
    </x:row>
    <x:row r="11" ht="21" customHeight="1">
      <x:c r="A11" s="90" t="n">
        <x:f>MONATSBUDGET!A11</x:f>
        <x:v>46327</x:v>
      </x:c>
      <x:c r="B11" s="88" t="str">
        <x:f>MONATSBUDGET!C11</x:f>
      </x:c>
      <x:c r="C11" s="88" t="n">
        <x:f>SUM('SCHNEEBALL'!F80:F99)</x:f>
        <x:v>0</x:v>
      </x:c>
      <x:c r="D11" s="88" t="n">
        <x:f>SUM('SCHNEEBALL'!H80:H99)</x:f>
        <x:v>0</x:v>
      </x:c>
      <x:c r="E11" s="88" t="n">
        <x:f>SUM('SCHNEEBALL'!G80:G99)</x:f>
        <x:v>0</x:v>
      </x:c>
      <x:c r="F11" s="88" t="n">
        <x:f>SUM('SCHNEEBALL'!E80:E99)</x:f>
        <x:v>0</x:v>
      </x:c>
      <x:c r="G11" s="88" t="n">
        <x:f>C11+D11+E11</x:f>
        <x:v>0</x:v>
      </x:c>
      <x:c r="H11" s="88" t="n">
        <x:f>SUM('SCHNEEBALL'!I80:I99)</x:f>
        <x:v>0</x:v>
      </x:c>
      <x:c r="I11" s="88" t="n">
        <x:f>SUM('ZINS-LAWINE'!F80:F99)</x:f>
        <x:v>0</x:v>
      </x:c>
      <x:c r="J11" s="88" t="n">
        <x:f>SUM('ZINS-LAWINE'!H80:H99)</x:f>
        <x:v>0</x:v>
      </x:c>
      <x:c r="K11" s="88" t="n">
        <x:f>SUM('ZINS-LAWINE'!G80:G99)</x:f>
        <x:v>0</x:v>
      </x:c>
      <x:c r="L11" s="88" t="n">
        <x:f>SUM('ZINS-LAWINE'!E80:E99)</x:f>
        <x:v>0</x:v>
      </x:c>
      <x:c r="M11" s="88" t="n">
        <x:f>I11+J11+K11</x:f>
        <x:v>0</x:v>
      </x:c>
      <x:c r="N11" s="88" t="n">
        <x:f>SUM('ZINS-LAWINE'!I80:I99)</x:f>
        <x:v>0</x:v>
      </x:c>
      <x:c r="O11" s="88" t="str">
        <x:f>IF(B11="","",MAX(0,C11-B11))</x:f>
      </x:c>
      <x:c r="P11" s="88" t="str">
        <x:f>IF(B11="","",MAX(0,I11-B11))</x:f>
      </x:c>
      <x:c r="Q11" s="88" t="n">
        <x:f>SUM('SCHNEEBALL'!K80:K99)</x:f>
        <x:v>0</x:v>
      </x:c>
      <x:c r="R11" t="str">
        <x:f>IF(B11="","BUDGET FEHLT",IF(OR(O11&gt;0,P11&gt;0),"NICHT FINANZIERBAR",IF(OR(Q11&gt;0,S11&gt;0),"SONDERBETRAG ÜBRIG","OK")))</x:f>
        <x:v>BUDGET FEHLT</x:v>
      </x:c>
      <x:c r="S11" s="88" t="n">
        <x:f>SUM('ZINS-LAWINE'!K80:K99)</x:f>
        <x:v>0</x:v>
      </x:c>
    </x:row>
    <x:row r="12" ht="21" customHeight="1">
      <x:c r="A12" s="90" t="n">
        <x:f>MONATSBUDGET!A12</x:f>
        <x:v>46357</x:v>
      </x:c>
      <x:c r="B12" s="88" t="str">
        <x:f>MONATSBUDGET!C12</x:f>
      </x:c>
      <x:c r="C12" s="88" t="n">
        <x:f>SUM('SCHNEEBALL'!F100:F119)</x:f>
        <x:v>0</x:v>
      </x:c>
      <x:c r="D12" s="88" t="n">
        <x:f>SUM('SCHNEEBALL'!H100:H119)</x:f>
        <x:v>0</x:v>
      </x:c>
      <x:c r="E12" s="88" t="n">
        <x:f>SUM('SCHNEEBALL'!G100:G119)</x:f>
        <x:v>0</x:v>
      </x:c>
      <x:c r="F12" s="88" t="n">
        <x:f>SUM('SCHNEEBALL'!E100:E119)</x:f>
        <x:v>0</x:v>
      </x:c>
      <x:c r="G12" s="88" t="n">
        <x:f>C12+D12+E12</x:f>
        <x:v>0</x:v>
      </x:c>
      <x:c r="H12" s="88" t="n">
        <x:f>SUM('SCHNEEBALL'!I100:I119)</x:f>
        <x:v>0</x:v>
      </x:c>
      <x:c r="I12" s="88" t="n">
        <x:f>SUM('ZINS-LAWINE'!F100:F119)</x:f>
        <x:v>0</x:v>
      </x:c>
      <x:c r="J12" s="88" t="n">
        <x:f>SUM('ZINS-LAWINE'!H100:H119)</x:f>
        <x:v>0</x:v>
      </x:c>
      <x:c r="K12" s="88" t="n">
        <x:f>SUM('ZINS-LAWINE'!G100:G119)</x:f>
        <x:v>0</x:v>
      </x:c>
      <x:c r="L12" s="88" t="n">
        <x:f>SUM('ZINS-LAWINE'!E100:E119)</x:f>
        <x:v>0</x:v>
      </x:c>
      <x:c r="M12" s="88" t="n">
        <x:f>I12+J12+K12</x:f>
        <x:v>0</x:v>
      </x:c>
      <x:c r="N12" s="88" t="n">
        <x:f>SUM('ZINS-LAWINE'!I100:I119)</x:f>
        <x:v>0</x:v>
      </x:c>
      <x:c r="O12" s="88" t="str">
        <x:f>IF(B12="","",MAX(0,C12-B12))</x:f>
      </x:c>
      <x:c r="P12" s="88" t="str">
        <x:f>IF(B12="","",MAX(0,I12-B12))</x:f>
      </x:c>
      <x:c r="Q12" s="88" t="n">
        <x:f>SUM('SCHNEEBALL'!K100:K119)</x:f>
        <x:v>0</x:v>
      </x:c>
      <x:c r="R12" t="str">
        <x:f>IF(B12="","BUDGET FEHLT",IF(OR(O12&gt;0,P12&gt;0),"NICHT FINANZIERBAR",IF(OR(Q12&gt;0,S12&gt;0),"SONDERBETRAG ÜBRIG","OK")))</x:f>
        <x:v>BUDGET FEHLT</x:v>
      </x:c>
      <x:c r="S12" s="88" t="n">
        <x:f>SUM('ZINS-LAWINE'!K100:K119)</x:f>
        <x:v>0</x:v>
      </x:c>
    </x:row>
    <x:row r="13" ht="21" customHeight="1">
      <x:c r="A13" s="90" t="n">
        <x:f>MONATSBUDGET!A13</x:f>
        <x:v>46388</x:v>
      </x:c>
      <x:c r="B13" s="88" t="str">
        <x:f>MONATSBUDGET!C13</x:f>
      </x:c>
      <x:c r="C13" s="88" t="n">
        <x:f>SUM('SCHNEEBALL'!F120:F139)</x:f>
        <x:v>0</x:v>
      </x:c>
      <x:c r="D13" s="88" t="n">
        <x:f>SUM('SCHNEEBALL'!H120:H139)</x:f>
        <x:v>0</x:v>
      </x:c>
      <x:c r="E13" s="88" t="n">
        <x:f>SUM('SCHNEEBALL'!G120:G139)</x:f>
        <x:v>0</x:v>
      </x:c>
      <x:c r="F13" s="88" t="n">
        <x:f>SUM('SCHNEEBALL'!E120:E139)</x:f>
        <x:v>0</x:v>
      </x:c>
      <x:c r="G13" s="88" t="n">
        <x:f>C13+D13+E13</x:f>
        <x:v>0</x:v>
      </x:c>
      <x:c r="H13" s="88" t="n">
        <x:f>SUM('SCHNEEBALL'!I120:I139)</x:f>
        <x:v>0</x:v>
      </x:c>
      <x:c r="I13" s="88" t="n">
        <x:f>SUM('ZINS-LAWINE'!F120:F139)</x:f>
        <x:v>0</x:v>
      </x:c>
      <x:c r="J13" s="88" t="n">
        <x:f>SUM('ZINS-LAWINE'!H120:H139)</x:f>
        <x:v>0</x:v>
      </x:c>
      <x:c r="K13" s="88" t="n">
        <x:f>SUM('ZINS-LAWINE'!G120:G139)</x:f>
        <x:v>0</x:v>
      </x:c>
      <x:c r="L13" s="88" t="n">
        <x:f>SUM('ZINS-LAWINE'!E120:E139)</x:f>
        <x:v>0</x:v>
      </x:c>
      <x:c r="M13" s="88" t="n">
        <x:f>I13+J13+K13</x:f>
        <x:v>0</x:v>
      </x:c>
      <x:c r="N13" s="88" t="n">
        <x:f>SUM('ZINS-LAWINE'!I120:I139)</x:f>
        <x:v>0</x:v>
      </x:c>
      <x:c r="O13" s="88" t="str">
        <x:f>IF(B13="","",MAX(0,C13-B13))</x:f>
      </x:c>
      <x:c r="P13" s="88" t="str">
        <x:f>IF(B13="","",MAX(0,I13-B13))</x:f>
      </x:c>
      <x:c r="Q13" s="88" t="n">
        <x:f>SUM('SCHNEEBALL'!K120:K139)</x:f>
        <x:v>0</x:v>
      </x:c>
      <x:c r="R13" t="str">
        <x:f>IF(B13="","BUDGET FEHLT",IF(OR(O13&gt;0,P13&gt;0),"NICHT FINANZIERBAR",IF(OR(Q13&gt;0,S13&gt;0),"SONDERBETRAG ÜBRIG","OK")))</x:f>
        <x:v>BUDGET FEHLT</x:v>
      </x:c>
      <x:c r="S13" s="88" t="n">
        <x:f>SUM('ZINS-LAWINE'!K120:K139)</x:f>
        <x:v>0</x:v>
      </x:c>
    </x:row>
    <x:row r="14" ht="21" customHeight="1">
      <x:c r="A14" s="90" t="n">
        <x:f>MONATSBUDGET!A14</x:f>
        <x:v>46419</x:v>
      </x:c>
      <x:c r="B14" s="88" t="str">
        <x:f>MONATSBUDGET!C14</x:f>
      </x:c>
      <x:c r="C14" s="88" t="n">
        <x:f>SUM('SCHNEEBALL'!F140:F159)</x:f>
        <x:v>0</x:v>
      </x:c>
      <x:c r="D14" s="88" t="n">
        <x:f>SUM('SCHNEEBALL'!H140:H159)</x:f>
        <x:v>0</x:v>
      </x:c>
      <x:c r="E14" s="88" t="n">
        <x:f>SUM('SCHNEEBALL'!G140:G159)</x:f>
        <x:v>0</x:v>
      </x:c>
      <x:c r="F14" s="88" t="n">
        <x:f>SUM('SCHNEEBALL'!E140:E159)</x:f>
        <x:v>0</x:v>
      </x:c>
      <x:c r="G14" s="88" t="n">
        <x:f>C14+D14+E14</x:f>
        <x:v>0</x:v>
      </x:c>
      <x:c r="H14" s="88" t="n">
        <x:f>SUM('SCHNEEBALL'!I140:I159)</x:f>
        <x:v>0</x:v>
      </x:c>
      <x:c r="I14" s="88" t="n">
        <x:f>SUM('ZINS-LAWINE'!F140:F159)</x:f>
        <x:v>0</x:v>
      </x:c>
      <x:c r="J14" s="88" t="n">
        <x:f>SUM('ZINS-LAWINE'!H140:H159)</x:f>
        <x:v>0</x:v>
      </x:c>
      <x:c r="K14" s="88" t="n">
        <x:f>SUM('ZINS-LAWINE'!G140:G159)</x:f>
        <x:v>0</x:v>
      </x:c>
      <x:c r="L14" s="88" t="n">
        <x:f>SUM('ZINS-LAWINE'!E140:E159)</x:f>
        <x:v>0</x:v>
      </x:c>
      <x:c r="M14" s="88" t="n">
        <x:f>I14+J14+K14</x:f>
        <x:v>0</x:v>
      </x:c>
      <x:c r="N14" s="88" t="n">
        <x:f>SUM('ZINS-LAWINE'!I140:I159)</x:f>
        <x:v>0</x:v>
      </x:c>
      <x:c r="O14" s="88" t="str">
        <x:f>IF(B14="","",MAX(0,C14-B14))</x:f>
      </x:c>
      <x:c r="P14" s="88" t="str">
        <x:f>IF(B14="","",MAX(0,I14-B14))</x:f>
      </x:c>
      <x:c r="Q14" s="88" t="n">
        <x:f>SUM('SCHNEEBALL'!K140:K159)</x:f>
        <x:v>0</x:v>
      </x:c>
      <x:c r="R14" t="str">
        <x:f>IF(B14="","BUDGET FEHLT",IF(OR(O14&gt;0,P14&gt;0),"NICHT FINANZIERBAR",IF(OR(Q14&gt;0,S14&gt;0),"SONDERBETRAG ÜBRIG","OK")))</x:f>
        <x:v>BUDGET FEHLT</x:v>
      </x:c>
      <x:c r="S14" s="88" t="n">
        <x:f>SUM('ZINS-LAWINE'!K140:K159)</x:f>
        <x:v>0</x:v>
      </x:c>
    </x:row>
    <x:row r="15" ht="21" customHeight="1">
      <x:c r="A15" s="90" t="n">
        <x:f>MONATSBUDGET!A15</x:f>
        <x:v>46447</x:v>
      </x:c>
      <x:c r="B15" s="88" t="str">
        <x:f>MONATSBUDGET!C15</x:f>
      </x:c>
      <x:c r="C15" s="88" t="n">
        <x:f>SUM('SCHNEEBALL'!F160:F179)</x:f>
        <x:v>0</x:v>
      </x:c>
      <x:c r="D15" s="88" t="n">
        <x:f>SUM('SCHNEEBALL'!H160:H179)</x:f>
        <x:v>0</x:v>
      </x:c>
      <x:c r="E15" s="88" t="n">
        <x:f>SUM('SCHNEEBALL'!G160:G179)</x:f>
        <x:v>0</x:v>
      </x:c>
      <x:c r="F15" s="88" t="n">
        <x:f>SUM('SCHNEEBALL'!E160:E179)</x:f>
        <x:v>0</x:v>
      </x:c>
      <x:c r="G15" s="88" t="n">
        <x:f>C15+D15+E15</x:f>
        <x:v>0</x:v>
      </x:c>
      <x:c r="H15" s="88" t="n">
        <x:f>SUM('SCHNEEBALL'!I160:I179)</x:f>
        <x:v>0</x:v>
      </x:c>
      <x:c r="I15" s="88" t="n">
        <x:f>SUM('ZINS-LAWINE'!F160:F179)</x:f>
        <x:v>0</x:v>
      </x:c>
      <x:c r="J15" s="88" t="n">
        <x:f>SUM('ZINS-LAWINE'!H160:H179)</x:f>
        <x:v>0</x:v>
      </x:c>
      <x:c r="K15" s="88" t="n">
        <x:f>SUM('ZINS-LAWINE'!G160:G179)</x:f>
        <x:v>0</x:v>
      </x:c>
      <x:c r="L15" s="88" t="n">
        <x:f>SUM('ZINS-LAWINE'!E160:E179)</x:f>
        <x:v>0</x:v>
      </x:c>
      <x:c r="M15" s="88" t="n">
        <x:f>I15+J15+K15</x:f>
        <x:v>0</x:v>
      </x:c>
      <x:c r="N15" s="88" t="n">
        <x:f>SUM('ZINS-LAWINE'!I160:I179)</x:f>
        <x:v>0</x:v>
      </x:c>
      <x:c r="O15" s="88" t="str">
        <x:f>IF(B15="","",MAX(0,C15-B15))</x:f>
      </x:c>
      <x:c r="P15" s="88" t="str">
        <x:f>IF(B15="","",MAX(0,I15-B15))</x:f>
      </x:c>
      <x:c r="Q15" s="88" t="n">
        <x:f>SUM('SCHNEEBALL'!K160:K179)</x:f>
        <x:v>0</x:v>
      </x:c>
      <x:c r="R15" t="str">
        <x:f>IF(B15="","BUDGET FEHLT",IF(OR(O15&gt;0,P15&gt;0),"NICHT FINANZIERBAR",IF(OR(Q15&gt;0,S15&gt;0),"SONDERBETRAG ÜBRIG","OK")))</x:f>
        <x:v>BUDGET FEHLT</x:v>
      </x:c>
      <x:c r="S15" s="88" t="n">
        <x:f>SUM('ZINS-LAWINE'!K160:K179)</x:f>
        <x:v>0</x:v>
      </x:c>
    </x:row>
    <x:row r="16" ht="21" customHeight="1">
      <x:c r="A16" s="90" t="n">
        <x:f>MONATSBUDGET!A16</x:f>
        <x:v>46478</x:v>
      </x:c>
      <x:c r="B16" s="88" t="str">
        <x:f>MONATSBUDGET!C16</x:f>
      </x:c>
      <x:c r="C16" s="88" t="n">
        <x:f>SUM('SCHNEEBALL'!F180:F199)</x:f>
        <x:v>0</x:v>
      </x:c>
      <x:c r="D16" s="88" t="n">
        <x:f>SUM('SCHNEEBALL'!H180:H199)</x:f>
        <x:v>0</x:v>
      </x:c>
      <x:c r="E16" s="88" t="n">
        <x:f>SUM('SCHNEEBALL'!G180:G199)</x:f>
        <x:v>0</x:v>
      </x:c>
      <x:c r="F16" s="88" t="n">
        <x:f>SUM('SCHNEEBALL'!E180:E199)</x:f>
        <x:v>0</x:v>
      </x:c>
      <x:c r="G16" s="88" t="n">
        <x:f>C16+D16+E16</x:f>
        <x:v>0</x:v>
      </x:c>
      <x:c r="H16" s="88" t="n">
        <x:f>SUM('SCHNEEBALL'!I180:I199)</x:f>
        <x:v>0</x:v>
      </x:c>
      <x:c r="I16" s="88" t="n">
        <x:f>SUM('ZINS-LAWINE'!F180:F199)</x:f>
        <x:v>0</x:v>
      </x:c>
      <x:c r="J16" s="88" t="n">
        <x:f>SUM('ZINS-LAWINE'!H180:H199)</x:f>
        <x:v>0</x:v>
      </x:c>
      <x:c r="K16" s="88" t="n">
        <x:f>SUM('ZINS-LAWINE'!G180:G199)</x:f>
        <x:v>0</x:v>
      </x:c>
      <x:c r="L16" s="88" t="n">
        <x:f>SUM('ZINS-LAWINE'!E180:E199)</x:f>
        <x:v>0</x:v>
      </x:c>
      <x:c r="M16" s="88" t="n">
        <x:f>I16+J16+K16</x:f>
        <x:v>0</x:v>
      </x:c>
      <x:c r="N16" s="88" t="n">
        <x:f>SUM('ZINS-LAWINE'!I180:I199)</x:f>
        <x:v>0</x:v>
      </x:c>
      <x:c r="O16" s="88" t="str">
        <x:f>IF(B16="","",MAX(0,C16-B16))</x:f>
      </x:c>
      <x:c r="P16" s="88" t="str">
        <x:f>IF(B16="","",MAX(0,I16-B16))</x:f>
      </x:c>
      <x:c r="Q16" s="88" t="n">
        <x:f>SUM('SCHNEEBALL'!K180:K199)</x:f>
        <x:v>0</x:v>
      </x:c>
      <x:c r="R16" t="str">
        <x:f>IF(B16="","BUDGET FEHLT",IF(OR(O16&gt;0,P16&gt;0),"NICHT FINANZIERBAR",IF(OR(Q16&gt;0,S16&gt;0),"SONDERBETRAG ÜBRIG","OK")))</x:f>
        <x:v>BUDGET FEHLT</x:v>
      </x:c>
      <x:c r="S16" s="88" t="n">
        <x:f>SUM('ZINS-LAWINE'!K180:K199)</x:f>
        <x:v>0</x:v>
      </x:c>
    </x:row>
    <x:row r="17" ht="21" customHeight="1">
      <x:c r="A17" s="90" t="n">
        <x:f>MONATSBUDGET!A17</x:f>
        <x:v>46508</x:v>
      </x:c>
      <x:c r="B17" s="88" t="str">
        <x:f>MONATSBUDGET!C17</x:f>
      </x:c>
      <x:c r="C17" s="88" t="n">
        <x:f>SUM('SCHNEEBALL'!F200:F219)</x:f>
        <x:v>0</x:v>
      </x:c>
      <x:c r="D17" s="88" t="n">
        <x:f>SUM('SCHNEEBALL'!H200:H219)</x:f>
        <x:v>0</x:v>
      </x:c>
      <x:c r="E17" s="88" t="n">
        <x:f>SUM('SCHNEEBALL'!G200:G219)</x:f>
        <x:v>0</x:v>
      </x:c>
      <x:c r="F17" s="88" t="n">
        <x:f>SUM('SCHNEEBALL'!E200:E219)</x:f>
        <x:v>0</x:v>
      </x:c>
      <x:c r="G17" s="88" t="n">
        <x:f>C17+D17+E17</x:f>
        <x:v>0</x:v>
      </x:c>
      <x:c r="H17" s="88" t="n">
        <x:f>SUM('SCHNEEBALL'!I200:I219)</x:f>
        <x:v>0</x:v>
      </x:c>
      <x:c r="I17" s="88" t="n">
        <x:f>SUM('ZINS-LAWINE'!F200:F219)</x:f>
        <x:v>0</x:v>
      </x:c>
      <x:c r="J17" s="88" t="n">
        <x:f>SUM('ZINS-LAWINE'!H200:H219)</x:f>
        <x:v>0</x:v>
      </x:c>
      <x:c r="K17" s="88" t="n">
        <x:f>SUM('ZINS-LAWINE'!G200:G219)</x:f>
        <x:v>0</x:v>
      </x:c>
      <x:c r="L17" s="88" t="n">
        <x:f>SUM('ZINS-LAWINE'!E200:E219)</x:f>
        <x:v>0</x:v>
      </x:c>
      <x:c r="M17" s="88" t="n">
        <x:f>I17+J17+K17</x:f>
        <x:v>0</x:v>
      </x:c>
      <x:c r="N17" s="88" t="n">
        <x:f>SUM('ZINS-LAWINE'!I200:I219)</x:f>
        <x:v>0</x:v>
      </x:c>
      <x:c r="O17" s="88" t="str">
        <x:f>IF(B17="","",MAX(0,C17-B17))</x:f>
      </x:c>
      <x:c r="P17" s="88" t="str">
        <x:f>IF(B17="","",MAX(0,I17-B17))</x:f>
      </x:c>
      <x:c r="Q17" s="88" t="n">
        <x:f>SUM('SCHNEEBALL'!K200:K219)</x:f>
        <x:v>0</x:v>
      </x:c>
      <x:c r="R17" t="str">
        <x:f>IF(B17="","BUDGET FEHLT",IF(OR(O17&gt;0,P17&gt;0),"NICHT FINANZIERBAR",IF(OR(Q17&gt;0,S17&gt;0),"SONDERBETRAG ÜBRIG","OK")))</x:f>
        <x:v>BUDGET FEHLT</x:v>
      </x:c>
      <x:c r="S17" s="88" t="n">
        <x:f>SUM('ZINS-LAWINE'!K200:K219)</x:f>
        <x:v>0</x:v>
      </x:c>
    </x:row>
    <x:row r="18" ht="21" customHeight="1">
      <x:c r="A18" s="90" t="n">
        <x:f>MONATSBUDGET!A18</x:f>
        <x:v>46539</x:v>
      </x:c>
      <x:c r="B18" s="88" t="str">
        <x:f>MONATSBUDGET!C18</x:f>
      </x:c>
      <x:c r="C18" s="88" t="n">
        <x:f>SUM('SCHNEEBALL'!F220:F239)</x:f>
        <x:v>0</x:v>
      </x:c>
      <x:c r="D18" s="88" t="n">
        <x:f>SUM('SCHNEEBALL'!H220:H239)</x:f>
        <x:v>0</x:v>
      </x:c>
      <x:c r="E18" s="88" t="n">
        <x:f>SUM('SCHNEEBALL'!G220:G239)</x:f>
        <x:v>0</x:v>
      </x:c>
      <x:c r="F18" s="88" t="n">
        <x:f>SUM('SCHNEEBALL'!E220:E239)</x:f>
        <x:v>0</x:v>
      </x:c>
      <x:c r="G18" s="88" t="n">
        <x:f>C18+D18+E18</x:f>
        <x:v>0</x:v>
      </x:c>
      <x:c r="H18" s="88" t="n">
        <x:f>SUM('SCHNEEBALL'!I220:I239)</x:f>
        <x:v>0</x:v>
      </x:c>
      <x:c r="I18" s="88" t="n">
        <x:f>SUM('ZINS-LAWINE'!F220:F239)</x:f>
        <x:v>0</x:v>
      </x:c>
      <x:c r="J18" s="88" t="n">
        <x:f>SUM('ZINS-LAWINE'!H220:H239)</x:f>
        <x:v>0</x:v>
      </x:c>
      <x:c r="K18" s="88" t="n">
        <x:f>SUM('ZINS-LAWINE'!G220:G239)</x:f>
        <x:v>0</x:v>
      </x:c>
      <x:c r="L18" s="88" t="n">
        <x:f>SUM('ZINS-LAWINE'!E220:E239)</x:f>
        <x:v>0</x:v>
      </x:c>
      <x:c r="M18" s="88" t="n">
        <x:f>I18+J18+K18</x:f>
        <x:v>0</x:v>
      </x:c>
      <x:c r="N18" s="88" t="n">
        <x:f>SUM('ZINS-LAWINE'!I220:I239)</x:f>
        <x:v>0</x:v>
      </x:c>
      <x:c r="O18" s="88" t="str">
        <x:f>IF(B18="","",MAX(0,C18-B18))</x:f>
      </x:c>
      <x:c r="P18" s="88" t="str">
        <x:f>IF(B18="","",MAX(0,I18-B18))</x:f>
      </x:c>
      <x:c r="Q18" s="88" t="n">
        <x:f>SUM('SCHNEEBALL'!K220:K239)</x:f>
        <x:v>0</x:v>
      </x:c>
      <x:c r="R18" t="str">
        <x:f>IF(B18="","BUDGET FEHLT",IF(OR(O18&gt;0,P18&gt;0),"NICHT FINANZIERBAR",IF(OR(Q18&gt;0,S18&gt;0),"SONDERBETRAG ÜBRIG","OK")))</x:f>
        <x:v>BUDGET FEHLT</x:v>
      </x:c>
      <x:c r="S18" s="88" t="n">
        <x:f>SUM('ZINS-LAWINE'!K220:K239)</x:f>
        <x:v>0</x:v>
      </x:c>
    </x:row>
    <x:row r="19" ht="21" customHeight="1">
      <x:c r="A19" s="90" t="n">
        <x:f>MONATSBUDGET!A19</x:f>
        <x:v>46569</x:v>
      </x:c>
      <x:c r="B19" s="88" t="str">
        <x:f>MONATSBUDGET!C19</x:f>
      </x:c>
      <x:c r="C19" s="88" t="n">
        <x:f>SUM('SCHNEEBALL'!F240:F259)</x:f>
        <x:v>0</x:v>
      </x:c>
      <x:c r="D19" s="88" t="n">
        <x:f>SUM('SCHNEEBALL'!H240:H259)</x:f>
        <x:v>0</x:v>
      </x:c>
      <x:c r="E19" s="88" t="n">
        <x:f>SUM('SCHNEEBALL'!G240:G259)</x:f>
        <x:v>0</x:v>
      </x:c>
      <x:c r="F19" s="88" t="n">
        <x:f>SUM('SCHNEEBALL'!E240:E259)</x:f>
        <x:v>0</x:v>
      </x:c>
      <x:c r="G19" s="88" t="n">
        <x:f>C19+D19+E19</x:f>
        <x:v>0</x:v>
      </x:c>
      <x:c r="H19" s="88" t="n">
        <x:f>SUM('SCHNEEBALL'!I240:I259)</x:f>
        <x:v>0</x:v>
      </x:c>
      <x:c r="I19" s="88" t="n">
        <x:f>SUM('ZINS-LAWINE'!F240:F259)</x:f>
        <x:v>0</x:v>
      </x:c>
      <x:c r="J19" s="88" t="n">
        <x:f>SUM('ZINS-LAWINE'!H240:H259)</x:f>
        <x:v>0</x:v>
      </x:c>
      <x:c r="K19" s="88" t="n">
        <x:f>SUM('ZINS-LAWINE'!G240:G259)</x:f>
        <x:v>0</x:v>
      </x:c>
      <x:c r="L19" s="88" t="n">
        <x:f>SUM('ZINS-LAWINE'!E240:E259)</x:f>
        <x:v>0</x:v>
      </x:c>
      <x:c r="M19" s="88" t="n">
        <x:f>I19+J19+K19</x:f>
        <x:v>0</x:v>
      </x:c>
      <x:c r="N19" s="88" t="n">
        <x:f>SUM('ZINS-LAWINE'!I240:I259)</x:f>
        <x:v>0</x:v>
      </x:c>
      <x:c r="O19" s="88" t="str">
        <x:f>IF(B19="","",MAX(0,C19-B19))</x:f>
      </x:c>
      <x:c r="P19" s="88" t="str">
        <x:f>IF(B19="","",MAX(0,I19-B19))</x:f>
      </x:c>
      <x:c r="Q19" s="88" t="n">
        <x:f>SUM('SCHNEEBALL'!K240:K259)</x:f>
        <x:v>0</x:v>
      </x:c>
      <x:c r="R19" t="str">
        <x:f>IF(B19="","BUDGET FEHLT",IF(OR(O19&gt;0,P19&gt;0),"NICHT FINANZIERBAR",IF(OR(Q19&gt;0,S19&gt;0),"SONDERBETRAG ÜBRIG","OK")))</x:f>
        <x:v>BUDGET FEHLT</x:v>
      </x:c>
      <x:c r="S19" s="88" t="n">
        <x:f>SUM('ZINS-LAWINE'!K240:K259)</x:f>
        <x:v>0</x:v>
      </x:c>
    </x:row>
    <x:row r="20" ht="21" customHeight="1">
      <x:c r="A20" s="90" t="n">
        <x:f>MONATSBUDGET!A20</x:f>
        <x:v>46600</x:v>
      </x:c>
      <x:c r="B20" s="88" t="str">
        <x:f>MONATSBUDGET!C20</x:f>
      </x:c>
      <x:c r="C20" s="88" t="n">
        <x:f>SUM('SCHNEEBALL'!F260:F279)</x:f>
        <x:v>0</x:v>
      </x:c>
      <x:c r="D20" s="88" t="n">
        <x:f>SUM('SCHNEEBALL'!H260:H279)</x:f>
        <x:v>0</x:v>
      </x:c>
      <x:c r="E20" s="88" t="n">
        <x:f>SUM('SCHNEEBALL'!G260:G279)</x:f>
        <x:v>0</x:v>
      </x:c>
      <x:c r="F20" s="88" t="n">
        <x:f>SUM('SCHNEEBALL'!E260:E279)</x:f>
        <x:v>0</x:v>
      </x:c>
      <x:c r="G20" s="88" t="n">
        <x:f>C20+D20+E20</x:f>
        <x:v>0</x:v>
      </x:c>
      <x:c r="H20" s="88" t="n">
        <x:f>SUM('SCHNEEBALL'!I260:I279)</x:f>
        <x:v>0</x:v>
      </x:c>
      <x:c r="I20" s="88" t="n">
        <x:f>SUM('ZINS-LAWINE'!F260:F279)</x:f>
        <x:v>0</x:v>
      </x:c>
      <x:c r="J20" s="88" t="n">
        <x:f>SUM('ZINS-LAWINE'!H260:H279)</x:f>
        <x:v>0</x:v>
      </x:c>
      <x:c r="K20" s="88" t="n">
        <x:f>SUM('ZINS-LAWINE'!G260:G279)</x:f>
        <x:v>0</x:v>
      </x:c>
      <x:c r="L20" s="88" t="n">
        <x:f>SUM('ZINS-LAWINE'!E260:E279)</x:f>
        <x:v>0</x:v>
      </x:c>
      <x:c r="M20" s="88" t="n">
        <x:f>I20+J20+K20</x:f>
        <x:v>0</x:v>
      </x:c>
      <x:c r="N20" s="88" t="n">
        <x:f>SUM('ZINS-LAWINE'!I260:I279)</x:f>
        <x:v>0</x:v>
      </x:c>
      <x:c r="O20" s="88" t="str">
        <x:f>IF(B20="","",MAX(0,C20-B20))</x:f>
      </x:c>
      <x:c r="P20" s="88" t="str">
        <x:f>IF(B20="","",MAX(0,I20-B20))</x:f>
      </x:c>
      <x:c r="Q20" s="88" t="n">
        <x:f>SUM('SCHNEEBALL'!K260:K279)</x:f>
        <x:v>0</x:v>
      </x:c>
      <x:c r="R20" t="str">
        <x:f>IF(B20="","BUDGET FEHLT",IF(OR(O20&gt;0,P20&gt;0),"NICHT FINANZIERBAR",IF(OR(Q20&gt;0,S20&gt;0),"SONDERBETRAG ÜBRIG","OK")))</x:f>
        <x:v>BUDGET FEHLT</x:v>
      </x:c>
      <x:c r="S20" s="88" t="n">
        <x:f>SUM('ZINS-LAWINE'!K260:K279)</x:f>
        <x:v>0</x:v>
      </x:c>
    </x:row>
    <x:row r="21" ht="21" customHeight="1">
      <x:c r="A21" s="90" t="n">
        <x:f>MONATSBUDGET!A21</x:f>
        <x:v>46631</x:v>
      </x:c>
      <x:c r="B21" s="88" t="str">
        <x:f>MONATSBUDGET!C21</x:f>
      </x:c>
      <x:c r="C21" s="88" t="n">
        <x:f>SUM('SCHNEEBALL'!F280:F299)</x:f>
        <x:v>0</x:v>
      </x:c>
      <x:c r="D21" s="88" t="n">
        <x:f>SUM('SCHNEEBALL'!H280:H299)</x:f>
        <x:v>0</x:v>
      </x:c>
      <x:c r="E21" s="88" t="n">
        <x:f>SUM('SCHNEEBALL'!G280:G299)</x:f>
        <x:v>0</x:v>
      </x:c>
      <x:c r="F21" s="88" t="n">
        <x:f>SUM('SCHNEEBALL'!E280:E299)</x:f>
        <x:v>0</x:v>
      </x:c>
      <x:c r="G21" s="88" t="n">
        <x:f>C21+D21+E21</x:f>
        <x:v>0</x:v>
      </x:c>
      <x:c r="H21" s="88" t="n">
        <x:f>SUM('SCHNEEBALL'!I280:I299)</x:f>
        <x:v>0</x:v>
      </x:c>
      <x:c r="I21" s="88" t="n">
        <x:f>SUM('ZINS-LAWINE'!F280:F299)</x:f>
        <x:v>0</x:v>
      </x:c>
      <x:c r="J21" s="88" t="n">
        <x:f>SUM('ZINS-LAWINE'!H280:H299)</x:f>
        <x:v>0</x:v>
      </x:c>
      <x:c r="K21" s="88" t="n">
        <x:f>SUM('ZINS-LAWINE'!G280:G299)</x:f>
        <x:v>0</x:v>
      </x:c>
      <x:c r="L21" s="88" t="n">
        <x:f>SUM('ZINS-LAWINE'!E280:E299)</x:f>
        <x:v>0</x:v>
      </x:c>
      <x:c r="M21" s="88" t="n">
        <x:f>I21+J21+K21</x:f>
        <x:v>0</x:v>
      </x:c>
      <x:c r="N21" s="88" t="n">
        <x:f>SUM('ZINS-LAWINE'!I280:I299)</x:f>
        <x:v>0</x:v>
      </x:c>
      <x:c r="O21" s="88" t="str">
        <x:f>IF(B21="","",MAX(0,C21-B21))</x:f>
      </x:c>
      <x:c r="P21" s="88" t="str">
        <x:f>IF(B21="","",MAX(0,I21-B21))</x:f>
      </x:c>
      <x:c r="Q21" s="88" t="n">
        <x:f>SUM('SCHNEEBALL'!K280:K299)</x:f>
        <x:v>0</x:v>
      </x:c>
      <x:c r="R21" t="str">
        <x:f>IF(B21="","BUDGET FEHLT",IF(OR(O21&gt;0,P21&gt;0),"NICHT FINANZIERBAR",IF(OR(Q21&gt;0,S21&gt;0),"SONDERBETRAG ÜBRIG","OK")))</x:f>
        <x:v>BUDGET FEHLT</x:v>
      </x:c>
      <x:c r="S21" s="88" t="n">
        <x:f>SUM('ZINS-LAWINE'!K280:K299)</x:f>
        <x:v>0</x:v>
      </x:c>
    </x:row>
    <x:row r="22" ht="21" customHeight="1">
      <x:c r="A22" s="90" t="n">
        <x:f>MONATSBUDGET!A22</x:f>
        <x:v>46661</x:v>
      </x:c>
      <x:c r="B22" s="88" t="str">
        <x:f>MONATSBUDGET!C22</x:f>
      </x:c>
      <x:c r="C22" s="88" t="n">
        <x:f>SUM('SCHNEEBALL'!F300:F319)</x:f>
        <x:v>0</x:v>
      </x:c>
      <x:c r="D22" s="88" t="n">
        <x:f>SUM('SCHNEEBALL'!H300:H319)</x:f>
        <x:v>0</x:v>
      </x:c>
      <x:c r="E22" s="88" t="n">
        <x:f>SUM('SCHNEEBALL'!G300:G319)</x:f>
        <x:v>0</x:v>
      </x:c>
      <x:c r="F22" s="88" t="n">
        <x:f>SUM('SCHNEEBALL'!E300:E319)</x:f>
        <x:v>0</x:v>
      </x:c>
      <x:c r="G22" s="88" t="n">
        <x:f>C22+D22+E22</x:f>
        <x:v>0</x:v>
      </x:c>
      <x:c r="H22" s="88" t="n">
        <x:f>SUM('SCHNEEBALL'!I300:I319)</x:f>
        <x:v>0</x:v>
      </x:c>
      <x:c r="I22" s="88" t="n">
        <x:f>SUM('ZINS-LAWINE'!F300:F319)</x:f>
        <x:v>0</x:v>
      </x:c>
      <x:c r="J22" s="88" t="n">
        <x:f>SUM('ZINS-LAWINE'!H300:H319)</x:f>
        <x:v>0</x:v>
      </x:c>
      <x:c r="K22" s="88" t="n">
        <x:f>SUM('ZINS-LAWINE'!G300:G319)</x:f>
        <x:v>0</x:v>
      </x:c>
      <x:c r="L22" s="88" t="n">
        <x:f>SUM('ZINS-LAWINE'!E300:E319)</x:f>
        <x:v>0</x:v>
      </x:c>
      <x:c r="M22" s="88" t="n">
        <x:f>I22+J22+K22</x:f>
        <x:v>0</x:v>
      </x:c>
      <x:c r="N22" s="88" t="n">
        <x:f>SUM('ZINS-LAWINE'!I300:I319)</x:f>
        <x:v>0</x:v>
      </x:c>
      <x:c r="O22" s="88" t="str">
        <x:f>IF(B22="","",MAX(0,C22-B22))</x:f>
      </x:c>
      <x:c r="P22" s="88" t="str">
        <x:f>IF(B22="","",MAX(0,I22-B22))</x:f>
      </x:c>
      <x:c r="Q22" s="88" t="n">
        <x:f>SUM('SCHNEEBALL'!K300:K319)</x:f>
        <x:v>0</x:v>
      </x:c>
      <x:c r="R22" t="str">
        <x:f>IF(B22="","BUDGET FEHLT",IF(OR(O22&gt;0,P22&gt;0),"NICHT FINANZIERBAR",IF(OR(Q22&gt;0,S22&gt;0),"SONDERBETRAG ÜBRIG","OK")))</x:f>
        <x:v>BUDGET FEHLT</x:v>
      </x:c>
      <x:c r="S22" s="88" t="n">
        <x:f>SUM('ZINS-LAWINE'!K300:K319)</x:f>
        <x:v>0</x:v>
      </x:c>
    </x:row>
    <x:row r="23" ht="21" customHeight="1">
      <x:c r="A23" s="90" t="n">
        <x:f>MONATSBUDGET!A23</x:f>
        <x:v>46692</x:v>
      </x:c>
      <x:c r="B23" s="88" t="str">
        <x:f>MONATSBUDGET!C23</x:f>
      </x:c>
      <x:c r="C23" s="88" t="n">
        <x:f>SUM('SCHNEEBALL'!F320:F339)</x:f>
        <x:v>0</x:v>
      </x:c>
      <x:c r="D23" s="88" t="n">
        <x:f>SUM('SCHNEEBALL'!H320:H339)</x:f>
        <x:v>0</x:v>
      </x:c>
      <x:c r="E23" s="88" t="n">
        <x:f>SUM('SCHNEEBALL'!G320:G339)</x:f>
        <x:v>0</x:v>
      </x:c>
      <x:c r="F23" s="88" t="n">
        <x:f>SUM('SCHNEEBALL'!E320:E339)</x:f>
        <x:v>0</x:v>
      </x:c>
      <x:c r="G23" s="88" t="n">
        <x:f>C23+D23+E23</x:f>
        <x:v>0</x:v>
      </x:c>
      <x:c r="H23" s="88" t="n">
        <x:f>SUM('SCHNEEBALL'!I320:I339)</x:f>
        <x:v>0</x:v>
      </x:c>
      <x:c r="I23" s="88" t="n">
        <x:f>SUM('ZINS-LAWINE'!F320:F339)</x:f>
        <x:v>0</x:v>
      </x:c>
      <x:c r="J23" s="88" t="n">
        <x:f>SUM('ZINS-LAWINE'!H320:H339)</x:f>
        <x:v>0</x:v>
      </x:c>
      <x:c r="K23" s="88" t="n">
        <x:f>SUM('ZINS-LAWINE'!G320:G339)</x:f>
        <x:v>0</x:v>
      </x:c>
      <x:c r="L23" s="88" t="n">
        <x:f>SUM('ZINS-LAWINE'!E320:E339)</x:f>
        <x:v>0</x:v>
      </x:c>
      <x:c r="M23" s="88" t="n">
        <x:f>I23+J23+K23</x:f>
        <x:v>0</x:v>
      </x:c>
      <x:c r="N23" s="88" t="n">
        <x:f>SUM('ZINS-LAWINE'!I320:I339)</x:f>
        <x:v>0</x:v>
      </x:c>
      <x:c r="O23" s="88" t="str">
        <x:f>IF(B23="","",MAX(0,C23-B23))</x:f>
      </x:c>
      <x:c r="P23" s="88" t="str">
        <x:f>IF(B23="","",MAX(0,I23-B23))</x:f>
      </x:c>
      <x:c r="Q23" s="88" t="n">
        <x:f>SUM('SCHNEEBALL'!K320:K339)</x:f>
        <x:v>0</x:v>
      </x:c>
      <x:c r="R23" t="str">
        <x:f>IF(B23="","BUDGET FEHLT",IF(OR(O23&gt;0,P23&gt;0),"NICHT FINANZIERBAR",IF(OR(Q23&gt;0,S23&gt;0),"SONDERBETRAG ÜBRIG","OK")))</x:f>
        <x:v>BUDGET FEHLT</x:v>
      </x:c>
      <x:c r="S23" s="88" t="n">
        <x:f>SUM('ZINS-LAWINE'!K320:K339)</x:f>
        <x:v>0</x:v>
      </x:c>
    </x:row>
    <x:row r="24" ht="21" customHeight="1">
      <x:c r="A24" s="90" t="n">
        <x:f>MONATSBUDGET!A24</x:f>
        <x:v>46722</x:v>
      </x:c>
      <x:c r="B24" s="88" t="str">
        <x:f>MONATSBUDGET!C24</x:f>
      </x:c>
      <x:c r="C24" s="88" t="n">
        <x:f>SUM('SCHNEEBALL'!F340:F359)</x:f>
        <x:v>0</x:v>
      </x:c>
      <x:c r="D24" s="88" t="n">
        <x:f>SUM('SCHNEEBALL'!H340:H359)</x:f>
        <x:v>0</x:v>
      </x:c>
      <x:c r="E24" s="88" t="n">
        <x:f>SUM('SCHNEEBALL'!G340:G359)</x:f>
        <x:v>0</x:v>
      </x:c>
      <x:c r="F24" s="88" t="n">
        <x:f>SUM('SCHNEEBALL'!E340:E359)</x:f>
        <x:v>0</x:v>
      </x:c>
      <x:c r="G24" s="88" t="n">
        <x:f>C24+D24+E24</x:f>
        <x:v>0</x:v>
      </x:c>
      <x:c r="H24" s="88" t="n">
        <x:f>SUM('SCHNEEBALL'!I340:I359)</x:f>
        <x:v>0</x:v>
      </x:c>
      <x:c r="I24" s="88" t="n">
        <x:f>SUM('ZINS-LAWINE'!F340:F359)</x:f>
        <x:v>0</x:v>
      </x:c>
      <x:c r="J24" s="88" t="n">
        <x:f>SUM('ZINS-LAWINE'!H340:H359)</x:f>
        <x:v>0</x:v>
      </x:c>
      <x:c r="K24" s="88" t="n">
        <x:f>SUM('ZINS-LAWINE'!G340:G359)</x:f>
        <x:v>0</x:v>
      </x:c>
      <x:c r="L24" s="88" t="n">
        <x:f>SUM('ZINS-LAWINE'!E340:E359)</x:f>
        <x:v>0</x:v>
      </x:c>
      <x:c r="M24" s="88" t="n">
        <x:f>I24+J24+K24</x:f>
        <x:v>0</x:v>
      </x:c>
      <x:c r="N24" s="88" t="n">
        <x:f>SUM('ZINS-LAWINE'!I340:I359)</x:f>
        <x:v>0</x:v>
      </x:c>
      <x:c r="O24" s="88" t="str">
        <x:f>IF(B24="","",MAX(0,C24-B24))</x:f>
      </x:c>
      <x:c r="P24" s="88" t="str">
        <x:f>IF(B24="","",MAX(0,I24-B24))</x:f>
      </x:c>
      <x:c r="Q24" s="88" t="n">
        <x:f>SUM('SCHNEEBALL'!K340:K359)</x:f>
        <x:v>0</x:v>
      </x:c>
      <x:c r="R24" t="str">
        <x:f>IF(B24="","BUDGET FEHLT",IF(OR(O24&gt;0,P24&gt;0),"NICHT FINANZIERBAR",IF(OR(Q24&gt;0,S24&gt;0),"SONDERBETRAG ÜBRIG","OK")))</x:f>
        <x:v>BUDGET FEHLT</x:v>
      </x:c>
      <x:c r="S24" s="88" t="n">
        <x:f>SUM('ZINS-LAWINE'!K340:K359)</x:f>
        <x:v>0</x:v>
      </x:c>
    </x:row>
    <x:row r="25" ht="21" customHeight="1">
      <x:c r="A25" s="90" t="n">
        <x:f>MONATSBUDGET!A25</x:f>
        <x:v>46753</x:v>
      </x:c>
      <x:c r="B25" s="88" t="str">
        <x:f>MONATSBUDGET!C25</x:f>
      </x:c>
      <x:c r="C25" s="88" t="n">
        <x:f>SUM('SCHNEEBALL'!F360:F379)</x:f>
        <x:v>0</x:v>
      </x:c>
      <x:c r="D25" s="88" t="n">
        <x:f>SUM('SCHNEEBALL'!H360:H379)</x:f>
        <x:v>0</x:v>
      </x:c>
      <x:c r="E25" s="88" t="n">
        <x:f>SUM('SCHNEEBALL'!G360:G379)</x:f>
        <x:v>0</x:v>
      </x:c>
      <x:c r="F25" s="88" t="n">
        <x:f>SUM('SCHNEEBALL'!E360:E379)</x:f>
        <x:v>0</x:v>
      </x:c>
      <x:c r="G25" s="88" t="n">
        <x:f>C25+D25+E25</x:f>
        <x:v>0</x:v>
      </x:c>
      <x:c r="H25" s="88" t="n">
        <x:f>SUM('SCHNEEBALL'!I360:I379)</x:f>
        <x:v>0</x:v>
      </x:c>
      <x:c r="I25" s="88" t="n">
        <x:f>SUM('ZINS-LAWINE'!F360:F379)</x:f>
        <x:v>0</x:v>
      </x:c>
      <x:c r="J25" s="88" t="n">
        <x:f>SUM('ZINS-LAWINE'!H360:H379)</x:f>
        <x:v>0</x:v>
      </x:c>
      <x:c r="K25" s="88" t="n">
        <x:f>SUM('ZINS-LAWINE'!G360:G379)</x:f>
        <x:v>0</x:v>
      </x:c>
      <x:c r="L25" s="88" t="n">
        <x:f>SUM('ZINS-LAWINE'!E360:E379)</x:f>
        <x:v>0</x:v>
      </x:c>
      <x:c r="M25" s="88" t="n">
        <x:f>I25+J25+K25</x:f>
        <x:v>0</x:v>
      </x:c>
      <x:c r="N25" s="88" t="n">
        <x:f>SUM('ZINS-LAWINE'!I360:I379)</x:f>
        <x:v>0</x:v>
      </x:c>
      <x:c r="O25" s="88" t="str">
        <x:f>IF(B25="","",MAX(0,C25-B25))</x:f>
      </x:c>
      <x:c r="P25" s="88" t="str">
        <x:f>IF(B25="","",MAX(0,I25-B25))</x:f>
      </x:c>
      <x:c r="Q25" s="88" t="n">
        <x:f>SUM('SCHNEEBALL'!K360:K379)</x:f>
        <x:v>0</x:v>
      </x:c>
      <x:c r="R25" t="str">
        <x:f>IF(B25="","BUDGET FEHLT",IF(OR(O25&gt;0,P25&gt;0),"NICHT FINANZIERBAR",IF(OR(Q25&gt;0,S25&gt;0),"SONDERBETRAG ÜBRIG","OK")))</x:f>
        <x:v>BUDGET FEHLT</x:v>
      </x:c>
      <x:c r="S25" s="88" t="n">
        <x:f>SUM('ZINS-LAWINE'!K360:K379)</x:f>
        <x:v>0</x:v>
      </x:c>
    </x:row>
    <x:row r="26" ht="21" customHeight="1">
      <x:c r="A26" s="90" t="n">
        <x:f>MONATSBUDGET!A26</x:f>
        <x:v>46784</x:v>
      </x:c>
      <x:c r="B26" s="88" t="str">
        <x:f>MONATSBUDGET!C26</x:f>
      </x:c>
      <x:c r="C26" s="88" t="n">
        <x:f>SUM('SCHNEEBALL'!F380:F399)</x:f>
        <x:v>0</x:v>
      </x:c>
      <x:c r="D26" s="88" t="n">
        <x:f>SUM('SCHNEEBALL'!H380:H399)</x:f>
        <x:v>0</x:v>
      </x:c>
      <x:c r="E26" s="88" t="n">
        <x:f>SUM('SCHNEEBALL'!G380:G399)</x:f>
        <x:v>0</x:v>
      </x:c>
      <x:c r="F26" s="88" t="n">
        <x:f>SUM('SCHNEEBALL'!E380:E399)</x:f>
        <x:v>0</x:v>
      </x:c>
      <x:c r="G26" s="88" t="n">
        <x:f>C26+D26+E26</x:f>
        <x:v>0</x:v>
      </x:c>
      <x:c r="H26" s="88" t="n">
        <x:f>SUM('SCHNEEBALL'!I380:I399)</x:f>
        <x:v>0</x:v>
      </x:c>
      <x:c r="I26" s="88" t="n">
        <x:f>SUM('ZINS-LAWINE'!F380:F399)</x:f>
        <x:v>0</x:v>
      </x:c>
      <x:c r="J26" s="88" t="n">
        <x:f>SUM('ZINS-LAWINE'!H380:H399)</x:f>
        <x:v>0</x:v>
      </x:c>
      <x:c r="K26" s="88" t="n">
        <x:f>SUM('ZINS-LAWINE'!G380:G399)</x:f>
        <x:v>0</x:v>
      </x:c>
      <x:c r="L26" s="88" t="n">
        <x:f>SUM('ZINS-LAWINE'!E380:E399)</x:f>
        <x:v>0</x:v>
      </x:c>
      <x:c r="M26" s="88" t="n">
        <x:f>I26+J26+K26</x:f>
        <x:v>0</x:v>
      </x:c>
      <x:c r="N26" s="88" t="n">
        <x:f>SUM('ZINS-LAWINE'!I380:I399)</x:f>
        <x:v>0</x:v>
      </x:c>
      <x:c r="O26" s="88" t="str">
        <x:f>IF(B26="","",MAX(0,C26-B26))</x:f>
      </x:c>
      <x:c r="P26" s="88" t="str">
        <x:f>IF(B26="","",MAX(0,I26-B26))</x:f>
      </x:c>
      <x:c r="Q26" s="88" t="n">
        <x:f>SUM('SCHNEEBALL'!K380:K399)</x:f>
        <x:v>0</x:v>
      </x:c>
      <x:c r="R26" t="str">
        <x:f>IF(B26="","BUDGET FEHLT",IF(OR(O26&gt;0,P26&gt;0),"NICHT FINANZIERBAR",IF(OR(Q26&gt;0,S26&gt;0),"SONDERBETRAG ÜBRIG","OK")))</x:f>
        <x:v>BUDGET FEHLT</x:v>
      </x:c>
      <x:c r="S26" s="88" t="n">
        <x:f>SUM('ZINS-LAWINE'!K380:K399)</x:f>
        <x:v>0</x:v>
      </x:c>
    </x:row>
    <x:row r="27" ht="21" customHeight="1">
      <x:c r="A27" s="90" t="n">
        <x:f>MONATSBUDGET!A27</x:f>
        <x:v>46813</x:v>
      </x:c>
      <x:c r="B27" s="88" t="str">
        <x:f>MONATSBUDGET!C27</x:f>
      </x:c>
      <x:c r="C27" s="88" t="n">
        <x:f>SUM('SCHNEEBALL'!F400:F419)</x:f>
        <x:v>0</x:v>
      </x:c>
      <x:c r="D27" s="88" t="n">
        <x:f>SUM('SCHNEEBALL'!H400:H419)</x:f>
        <x:v>0</x:v>
      </x:c>
      <x:c r="E27" s="88" t="n">
        <x:f>SUM('SCHNEEBALL'!G400:G419)</x:f>
        <x:v>0</x:v>
      </x:c>
      <x:c r="F27" s="88" t="n">
        <x:f>SUM('SCHNEEBALL'!E400:E419)</x:f>
        <x:v>0</x:v>
      </x:c>
      <x:c r="G27" s="88" t="n">
        <x:f>C27+D27+E27</x:f>
        <x:v>0</x:v>
      </x:c>
      <x:c r="H27" s="88" t="n">
        <x:f>SUM('SCHNEEBALL'!I400:I419)</x:f>
        <x:v>0</x:v>
      </x:c>
      <x:c r="I27" s="88" t="n">
        <x:f>SUM('ZINS-LAWINE'!F400:F419)</x:f>
        <x:v>0</x:v>
      </x:c>
      <x:c r="J27" s="88" t="n">
        <x:f>SUM('ZINS-LAWINE'!H400:H419)</x:f>
        <x:v>0</x:v>
      </x:c>
      <x:c r="K27" s="88" t="n">
        <x:f>SUM('ZINS-LAWINE'!G400:G419)</x:f>
        <x:v>0</x:v>
      </x:c>
      <x:c r="L27" s="88" t="n">
        <x:f>SUM('ZINS-LAWINE'!E400:E419)</x:f>
        <x:v>0</x:v>
      </x:c>
      <x:c r="M27" s="88" t="n">
        <x:f>I27+J27+K27</x:f>
        <x:v>0</x:v>
      </x:c>
      <x:c r="N27" s="88" t="n">
        <x:f>SUM('ZINS-LAWINE'!I400:I419)</x:f>
        <x:v>0</x:v>
      </x:c>
      <x:c r="O27" s="88" t="str">
        <x:f>IF(B27="","",MAX(0,C27-B27))</x:f>
      </x:c>
      <x:c r="P27" s="88" t="str">
        <x:f>IF(B27="","",MAX(0,I27-B27))</x:f>
      </x:c>
      <x:c r="Q27" s="88" t="n">
        <x:f>SUM('SCHNEEBALL'!K400:K419)</x:f>
        <x:v>0</x:v>
      </x:c>
      <x:c r="R27" t="str">
        <x:f>IF(B27="","BUDGET FEHLT",IF(OR(O27&gt;0,P27&gt;0),"NICHT FINANZIERBAR",IF(OR(Q27&gt;0,S27&gt;0),"SONDERBETRAG ÜBRIG","OK")))</x:f>
        <x:v>BUDGET FEHLT</x:v>
      </x:c>
      <x:c r="S27" s="88" t="n">
        <x:f>SUM('ZINS-LAWINE'!K400:K419)</x:f>
        <x:v>0</x:v>
      </x:c>
    </x:row>
    <x:row r="28" ht="21" customHeight="1">
      <x:c r="A28" s="90" t="n">
        <x:f>MONATSBUDGET!A28</x:f>
        <x:v>46844</x:v>
      </x:c>
      <x:c r="B28" s="88" t="str">
        <x:f>MONATSBUDGET!C28</x:f>
      </x:c>
      <x:c r="C28" s="88" t="n">
        <x:f>SUM('SCHNEEBALL'!F420:F439)</x:f>
        <x:v>0</x:v>
      </x:c>
      <x:c r="D28" s="88" t="n">
        <x:f>SUM('SCHNEEBALL'!H420:H439)</x:f>
        <x:v>0</x:v>
      </x:c>
      <x:c r="E28" s="88" t="n">
        <x:f>SUM('SCHNEEBALL'!G420:G439)</x:f>
        <x:v>0</x:v>
      </x:c>
      <x:c r="F28" s="88" t="n">
        <x:f>SUM('SCHNEEBALL'!E420:E439)</x:f>
        <x:v>0</x:v>
      </x:c>
      <x:c r="G28" s="88" t="n">
        <x:f>C28+D28+E28</x:f>
        <x:v>0</x:v>
      </x:c>
      <x:c r="H28" s="88" t="n">
        <x:f>SUM('SCHNEEBALL'!I420:I439)</x:f>
        <x:v>0</x:v>
      </x:c>
      <x:c r="I28" s="88" t="n">
        <x:f>SUM('ZINS-LAWINE'!F420:F439)</x:f>
        <x:v>0</x:v>
      </x:c>
      <x:c r="J28" s="88" t="n">
        <x:f>SUM('ZINS-LAWINE'!H420:H439)</x:f>
        <x:v>0</x:v>
      </x:c>
      <x:c r="K28" s="88" t="n">
        <x:f>SUM('ZINS-LAWINE'!G420:G439)</x:f>
        <x:v>0</x:v>
      </x:c>
      <x:c r="L28" s="88" t="n">
        <x:f>SUM('ZINS-LAWINE'!E420:E439)</x:f>
        <x:v>0</x:v>
      </x:c>
      <x:c r="M28" s="88" t="n">
        <x:f>I28+J28+K28</x:f>
        <x:v>0</x:v>
      </x:c>
      <x:c r="N28" s="88" t="n">
        <x:f>SUM('ZINS-LAWINE'!I420:I439)</x:f>
        <x:v>0</x:v>
      </x:c>
      <x:c r="O28" s="88" t="str">
        <x:f>IF(B28="","",MAX(0,C28-B28))</x:f>
      </x:c>
      <x:c r="P28" s="88" t="str">
        <x:f>IF(B28="","",MAX(0,I28-B28))</x:f>
      </x:c>
      <x:c r="Q28" s="88" t="n">
        <x:f>SUM('SCHNEEBALL'!K420:K439)</x:f>
        <x:v>0</x:v>
      </x:c>
      <x:c r="R28" t="str">
        <x:f>IF(B28="","BUDGET FEHLT",IF(OR(O28&gt;0,P28&gt;0),"NICHT FINANZIERBAR",IF(OR(Q28&gt;0,S28&gt;0),"SONDERBETRAG ÜBRIG","OK")))</x:f>
        <x:v>BUDGET FEHLT</x:v>
      </x:c>
      <x:c r="S28" s="88" t="n">
        <x:f>SUM('ZINS-LAWINE'!K420:K439)</x:f>
        <x:v>0</x:v>
      </x:c>
    </x:row>
    <x:row r="29" ht="21" customHeight="1">
      <x:c r="A29" s="90" t="n">
        <x:f>MONATSBUDGET!A29</x:f>
        <x:v>46874</x:v>
      </x:c>
      <x:c r="B29" s="88" t="str">
        <x:f>MONATSBUDGET!C29</x:f>
      </x:c>
      <x:c r="C29" s="88" t="n">
        <x:f>SUM('SCHNEEBALL'!F440:F459)</x:f>
        <x:v>0</x:v>
      </x:c>
      <x:c r="D29" s="88" t="n">
        <x:f>SUM('SCHNEEBALL'!H440:H459)</x:f>
        <x:v>0</x:v>
      </x:c>
      <x:c r="E29" s="88" t="n">
        <x:f>SUM('SCHNEEBALL'!G440:G459)</x:f>
        <x:v>0</x:v>
      </x:c>
      <x:c r="F29" s="88" t="n">
        <x:f>SUM('SCHNEEBALL'!E440:E459)</x:f>
        <x:v>0</x:v>
      </x:c>
      <x:c r="G29" s="88" t="n">
        <x:f>C29+D29+E29</x:f>
        <x:v>0</x:v>
      </x:c>
      <x:c r="H29" s="88" t="n">
        <x:f>SUM('SCHNEEBALL'!I440:I459)</x:f>
        <x:v>0</x:v>
      </x:c>
      <x:c r="I29" s="88" t="n">
        <x:f>SUM('ZINS-LAWINE'!F440:F459)</x:f>
        <x:v>0</x:v>
      </x:c>
      <x:c r="J29" s="88" t="n">
        <x:f>SUM('ZINS-LAWINE'!H440:H459)</x:f>
        <x:v>0</x:v>
      </x:c>
      <x:c r="K29" s="88" t="n">
        <x:f>SUM('ZINS-LAWINE'!G440:G459)</x:f>
        <x:v>0</x:v>
      </x:c>
      <x:c r="L29" s="88" t="n">
        <x:f>SUM('ZINS-LAWINE'!E440:E459)</x:f>
        <x:v>0</x:v>
      </x:c>
      <x:c r="M29" s="88" t="n">
        <x:f>I29+J29+K29</x:f>
        <x:v>0</x:v>
      </x:c>
      <x:c r="N29" s="88" t="n">
        <x:f>SUM('ZINS-LAWINE'!I440:I459)</x:f>
        <x:v>0</x:v>
      </x:c>
      <x:c r="O29" s="88" t="str">
        <x:f>IF(B29="","",MAX(0,C29-B29))</x:f>
      </x:c>
      <x:c r="P29" s="88" t="str">
        <x:f>IF(B29="","",MAX(0,I29-B29))</x:f>
      </x:c>
      <x:c r="Q29" s="88" t="n">
        <x:f>SUM('SCHNEEBALL'!K440:K459)</x:f>
        <x:v>0</x:v>
      </x:c>
      <x:c r="R29" t="str">
        <x:f>IF(B29="","BUDGET FEHLT",IF(OR(O29&gt;0,P29&gt;0),"NICHT FINANZIERBAR",IF(OR(Q29&gt;0,S29&gt;0),"SONDERBETRAG ÜBRIG","OK")))</x:f>
        <x:v>BUDGET FEHLT</x:v>
      </x:c>
      <x:c r="S29" s="88" t="n">
        <x:f>SUM('ZINS-LAWINE'!K440:K459)</x:f>
        <x:v>0</x:v>
      </x:c>
    </x:row>
    <x:row r="30" ht="21" customHeight="1">
      <x:c r="A30" s="90" t="n">
        <x:f>MONATSBUDGET!A30</x:f>
        <x:v>46905</x:v>
      </x:c>
      <x:c r="B30" s="88" t="str">
        <x:f>MONATSBUDGET!C30</x:f>
      </x:c>
      <x:c r="C30" s="88" t="n">
        <x:f>SUM('SCHNEEBALL'!F460:F479)</x:f>
        <x:v>0</x:v>
      </x:c>
      <x:c r="D30" s="88" t="n">
        <x:f>SUM('SCHNEEBALL'!H460:H479)</x:f>
        <x:v>0</x:v>
      </x:c>
      <x:c r="E30" s="88" t="n">
        <x:f>SUM('SCHNEEBALL'!G460:G479)</x:f>
        <x:v>0</x:v>
      </x:c>
      <x:c r="F30" s="88" t="n">
        <x:f>SUM('SCHNEEBALL'!E460:E479)</x:f>
        <x:v>0</x:v>
      </x:c>
      <x:c r="G30" s="88" t="n">
        <x:f>C30+D30+E30</x:f>
        <x:v>0</x:v>
      </x:c>
      <x:c r="H30" s="88" t="n">
        <x:f>SUM('SCHNEEBALL'!I460:I479)</x:f>
        <x:v>0</x:v>
      </x:c>
      <x:c r="I30" s="88" t="n">
        <x:f>SUM('ZINS-LAWINE'!F460:F479)</x:f>
        <x:v>0</x:v>
      </x:c>
      <x:c r="J30" s="88" t="n">
        <x:f>SUM('ZINS-LAWINE'!H460:H479)</x:f>
        <x:v>0</x:v>
      </x:c>
      <x:c r="K30" s="88" t="n">
        <x:f>SUM('ZINS-LAWINE'!G460:G479)</x:f>
        <x:v>0</x:v>
      </x:c>
      <x:c r="L30" s="88" t="n">
        <x:f>SUM('ZINS-LAWINE'!E460:E479)</x:f>
        <x:v>0</x:v>
      </x:c>
      <x:c r="M30" s="88" t="n">
        <x:f>I30+J30+K30</x:f>
        <x:v>0</x:v>
      </x:c>
      <x:c r="N30" s="88" t="n">
        <x:f>SUM('ZINS-LAWINE'!I460:I479)</x:f>
        <x:v>0</x:v>
      </x:c>
      <x:c r="O30" s="88" t="str">
        <x:f>IF(B30="","",MAX(0,C30-B30))</x:f>
      </x:c>
      <x:c r="P30" s="88" t="str">
        <x:f>IF(B30="","",MAX(0,I30-B30))</x:f>
      </x:c>
      <x:c r="Q30" s="88" t="n">
        <x:f>SUM('SCHNEEBALL'!K460:K479)</x:f>
        <x:v>0</x:v>
      </x:c>
      <x:c r="R30" t="str">
        <x:f>IF(B30="","BUDGET FEHLT",IF(OR(O30&gt;0,P30&gt;0),"NICHT FINANZIERBAR",IF(OR(Q30&gt;0,S30&gt;0),"SONDERBETRAG ÜBRIG","OK")))</x:f>
        <x:v>BUDGET FEHLT</x:v>
      </x:c>
      <x:c r="S30" s="88" t="n">
        <x:f>SUM('ZINS-LAWINE'!K460:K479)</x:f>
        <x:v>0</x:v>
      </x:c>
    </x:row>
    <x:row r="31" ht="21" customHeight="1">
      <x:c r="A31" s="90" t="n">
        <x:f>MONATSBUDGET!A31</x:f>
        <x:v>46935</x:v>
      </x:c>
      <x:c r="B31" s="88" t="str">
        <x:f>MONATSBUDGET!C31</x:f>
      </x:c>
      <x:c r="C31" s="88" t="n">
        <x:f>SUM('SCHNEEBALL'!F480:F499)</x:f>
        <x:v>0</x:v>
      </x:c>
      <x:c r="D31" s="88" t="n">
        <x:f>SUM('SCHNEEBALL'!H480:H499)</x:f>
        <x:v>0</x:v>
      </x:c>
      <x:c r="E31" s="88" t="n">
        <x:f>SUM('SCHNEEBALL'!G480:G499)</x:f>
        <x:v>0</x:v>
      </x:c>
      <x:c r="F31" s="88" t="n">
        <x:f>SUM('SCHNEEBALL'!E480:E499)</x:f>
        <x:v>0</x:v>
      </x:c>
      <x:c r="G31" s="88" t="n">
        <x:f>C31+D31+E31</x:f>
        <x:v>0</x:v>
      </x:c>
      <x:c r="H31" s="88" t="n">
        <x:f>SUM('SCHNEEBALL'!I480:I499)</x:f>
        <x:v>0</x:v>
      </x:c>
      <x:c r="I31" s="88" t="n">
        <x:f>SUM('ZINS-LAWINE'!F480:F499)</x:f>
        <x:v>0</x:v>
      </x:c>
      <x:c r="J31" s="88" t="n">
        <x:f>SUM('ZINS-LAWINE'!H480:H499)</x:f>
        <x:v>0</x:v>
      </x:c>
      <x:c r="K31" s="88" t="n">
        <x:f>SUM('ZINS-LAWINE'!G480:G499)</x:f>
        <x:v>0</x:v>
      </x:c>
      <x:c r="L31" s="88" t="n">
        <x:f>SUM('ZINS-LAWINE'!E480:E499)</x:f>
        <x:v>0</x:v>
      </x:c>
      <x:c r="M31" s="88" t="n">
        <x:f>I31+J31+K31</x:f>
        <x:v>0</x:v>
      </x:c>
      <x:c r="N31" s="88" t="n">
        <x:f>SUM('ZINS-LAWINE'!I480:I499)</x:f>
        <x:v>0</x:v>
      </x:c>
      <x:c r="O31" s="88" t="str">
        <x:f>IF(B31="","",MAX(0,C31-B31))</x:f>
      </x:c>
      <x:c r="P31" s="88" t="str">
        <x:f>IF(B31="","",MAX(0,I31-B31))</x:f>
      </x:c>
      <x:c r="Q31" s="88" t="n">
        <x:f>SUM('SCHNEEBALL'!K480:K499)</x:f>
        <x:v>0</x:v>
      </x:c>
      <x:c r="R31" t="str">
        <x:f>IF(B31="","BUDGET FEHLT",IF(OR(O31&gt;0,P31&gt;0),"NICHT FINANZIERBAR",IF(OR(Q31&gt;0,S31&gt;0),"SONDERBETRAG ÜBRIG","OK")))</x:f>
        <x:v>BUDGET FEHLT</x:v>
      </x:c>
      <x:c r="S31" s="88" t="n">
        <x:f>SUM('ZINS-LAWINE'!K480:K499)</x:f>
        <x:v>0</x:v>
      </x:c>
    </x:row>
    <x:row r="32" ht="21" customHeight="1">
      <x:c r="A32" s="90" t="n">
        <x:f>MONATSBUDGET!A32</x:f>
        <x:v>46966</x:v>
      </x:c>
      <x:c r="B32" s="88" t="str">
        <x:f>MONATSBUDGET!C32</x:f>
      </x:c>
      <x:c r="C32" s="88" t="n">
        <x:f>SUM('SCHNEEBALL'!F500:F519)</x:f>
        <x:v>0</x:v>
      </x:c>
      <x:c r="D32" s="88" t="n">
        <x:f>SUM('SCHNEEBALL'!H500:H519)</x:f>
        <x:v>0</x:v>
      </x:c>
      <x:c r="E32" s="88" t="n">
        <x:f>SUM('SCHNEEBALL'!G500:G519)</x:f>
        <x:v>0</x:v>
      </x:c>
      <x:c r="F32" s="88" t="n">
        <x:f>SUM('SCHNEEBALL'!E500:E519)</x:f>
        <x:v>0</x:v>
      </x:c>
      <x:c r="G32" s="88" t="n">
        <x:f>C32+D32+E32</x:f>
        <x:v>0</x:v>
      </x:c>
      <x:c r="H32" s="88" t="n">
        <x:f>SUM('SCHNEEBALL'!I500:I519)</x:f>
        <x:v>0</x:v>
      </x:c>
      <x:c r="I32" s="88" t="n">
        <x:f>SUM('ZINS-LAWINE'!F500:F519)</x:f>
        <x:v>0</x:v>
      </x:c>
      <x:c r="J32" s="88" t="n">
        <x:f>SUM('ZINS-LAWINE'!H500:H519)</x:f>
        <x:v>0</x:v>
      </x:c>
      <x:c r="K32" s="88" t="n">
        <x:f>SUM('ZINS-LAWINE'!G500:G519)</x:f>
        <x:v>0</x:v>
      </x:c>
      <x:c r="L32" s="88" t="n">
        <x:f>SUM('ZINS-LAWINE'!E500:E519)</x:f>
        <x:v>0</x:v>
      </x:c>
      <x:c r="M32" s="88" t="n">
        <x:f>I32+J32+K32</x:f>
        <x:v>0</x:v>
      </x:c>
      <x:c r="N32" s="88" t="n">
        <x:f>SUM('ZINS-LAWINE'!I500:I519)</x:f>
        <x:v>0</x:v>
      </x:c>
      <x:c r="O32" s="88" t="str">
        <x:f>IF(B32="","",MAX(0,C32-B32))</x:f>
      </x:c>
      <x:c r="P32" s="88" t="str">
        <x:f>IF(B32="","",MAX(0,I32-B32))</x:f>
      </x:c>
      <x:c r="Q32" s="88" t="n">
        <x:f>SUM('SCHNEEBALL'!K500:K519)</x:f>
        <x:v>0</x:v>
      </x:c>
      <x:c r="R32" t="str">
        <x:f>IF(B32="","BUDGET FEHLT",IF(OR(O32&gt;0,P32&gt;0),"NICHT FINANZIERBAR",IF(OR(Q32&gt;0,S32&gt;0),"SONDERBETRAG ÜBRIG","OK")))</x:f>
        <x:v>BUDGET FEHLT</x:v>
      </x:c>
      <x:c r="S32" s="88" t="n">
        <x:f>SUM('ZINS-LAWINE'!K500:K519)</x:f>
        <x:v>0</x:v>
      </x:c>
    </x:row>
    <x:row r="33" ht="21" customHeight="1">
      <x:c r="A33" s="90" t="n">
        <x:f>MONATSBUDGET!A33</x:f>
        <x:v>46997</x:v>
      </x:c>
      <x:c r="B33" s="88" t="str">
        <x:f>MONATSBUDGET!C33</x:f>
      </x:c>
      <x:c r="C33" s="88" t="n">
        <x:f>SUM('SCHNEEBALL'!F520:F539)</x:f>
        <x:v>0</x:v>
      </x:c>
      <x:c r="D33" s="88" t="n">
        <x:f>SUM('SCHNEEBALL'!H520:H539)</x:f>
        <x:v>0</x:v>
      </x:c>
      <x:c r="E33" s="88" t="n">
        <x:f>SUM('SCHNEEBALL'!G520:G539)</x:f>
        <x:v>0</x:v>
      </x:c>
      <x:c r="F33" s="88" t="n">
        <x:f>SUM('SCHNEEBALL'!E520:E539)</x:f>
        <x:v>0</x:v>
      </x:c>
      <x:c r="G33" s="88" t="n">
        <x:f>C33+D33+E33</x:f>
        <x:v>0</x:v>
      </x:c>
      <x:c r="H33" s="88" t="n">
        <x:f>SUM('SCHNEEBALL'!I520:I539)</x:f>
        <x:v>0</x:v>
      </x:c>
      <x:c r="I33" s="88" t="n">
        <x:f>SUM('ZINS-LAWINE'!F520:F539)</x:f>
        <x:v>0</x:v>
      </x:c>
      <x:c r="J33" s="88" t="n">
        <x:f>SUM('ZINS-LAWINE'!H520:H539)</x:f>
        <x:v>0</x:v>
      </x:c>
      <x:c r="K33" s="88" t="n">
        <x:f>SUM('ZINS-LAWINE'!G520:G539)</x:f>
        <x:v>0</x:v>
      </x:c>
      <x:c r="L33" s="88" t="n">
        <x:f>SUM('ZINS-LAWINE'!E520:E539)</x:f>
        <x:v>0</x:v>
      </x:c>
      <x:c r="M33" s="88" t="n">
        <x:f>I33+J33+K33</x:f>
        <x:v>0</x:v>
      </x:c>
      <x:c r="N33" s="88" t="n">
        <x:f>SUM('ZINS-LAWINE'!I520:I539)</x:f>
        <x:v>0</x:v>
      </x:c>
      <x:c r="O33" s="88" t="str">
        <x:f>IF(B33="","",MAX(0,C33-B33))</x:f>
      </x:c>
      <x:c r="P33" s="88" t="str">
        <x:f>IF(B33="","",MAX(0,I33-B33))</x:f>
      </x:c>
      <x:c r="Q33" s="88" t="n">
        <x:f>SUM('SCHNEEBALL'!K520:K539)</x:f>
        <x:v>0</x:v>
      </x:c>
      <x:c r="R33" t="str">
        <x:f>IF(B33="","BUDGET FEHLT",IF(OR(O33&gt;0,P33&gt;0),"NICHT FINANZIERBAR",IF(OR(Q33&gt;0,S33&gt;0),"SONDERBETRAG ÜBRIG","OK")))</x:f>
        <x:v>BUDGET FEHLT</x:v>
      </x:c>
      <x:c r="S33" s="88" t="n">
        <x:f>SUM('ZINS-LAWINE'!K520:K539)</x:f>
        <x:v>0</x:v>
      </x:c>
    </x:row>
    <x:row r="34" ht="21" customHeight="1">
      <x:c r="A34" s="90" t="n">
        <x:f>MONATSBUDGET!A34</x:f>
        <x:v>47027</x:v>
      </x:c>
      <x:c r="B34" s="88" t="str">
        <x:f>MONATSBUDGET!C34</x:f>
      </x:c>
      <x:c r="C34" s="88" t="n">
        <x:f>SUM('SCHNEEBALL'!F540:F559)</x:f>
        <x:v>0</x:v>
      </x:c>
      <x:c r="D34" s="88" t="n">
        <x:f>SUM('SCHNEEBALL'!H540:H559)</x:f>
        <x:v>0</x:v>
      </x:c>
      <x:c r="E34" s="88" t="n">
        <x:f>SUM('SCHNEEBALL'!G540:G559)</x:f>
        <x:v>0</x:v>
      </x:c>
      <x:c r="F34" s="88" t="n">
        <x:f>SUM('SCHNEEBALL'!E540:E559)</x:f>
        <x:v>0</x:v>
      </x:c>
      <x:c r="G34" s="88" t="n">
        <x:f>C34+D34+E34</x:f>
        <x:v>0</x:v>
      </x:c>
      <x:c r="H34" s="88" t="n">
        <x:f>SUM('SCHNEEBALL'!I540:I559)</x:f>
        <x:v>0</x:v>
      </x:c>
      <x:c r="I34" s="88" t="n">
        <x:f>SUM('ZINS-LAWINE'!F540:F559)</x:f>
        <x:v>0</x:v>
      </x:c>
      <x:c r="J34" s="88" t="n">
        <x:f>SUM('ZINS-LAWINE'!H540:H559)</x:f>
        <x:v>0</x:v>
      </x:c>
      <x:c r="K34" s="88" t="n">
        <x:f>SUM('ZINS-LAWINE'!G540:G559)</x:f>
        <x:v>0</x:v>
      </x:c>
      <x:c r="L34" s="88" t="n">
        <x:f>SUM('ZINS-LAWINE'!E540:E559)</x:f>
        <x:v>0</x:v>
      </x:c>
      <x:c r="M34" s="88" t="n">
        <x:f>I34+J34+K34</x:f>
        <x:v>0</x:v>
      </x:c>
      <x:c r="N34" s="88" t="n">
        <x:f>SUM('ZINS-LAWINE'!I540:I559)</x:f>
        <x:v>0</x:v>
      </x:c>
      <x:c r="O34" s="88" t="str">
        <x:f>IF(B34="","",MAX(0,C34-B34))</x:f>
      </x:c>
      <x:c r="P34" s="88" t="str">
        <x:f>IF(B34="","",MAX(0,I34-B34))</x:f>
      </x:c>
      <x:c r="Q34" s="88" t="n">
        <x:f>SUM('SCHNEEBALL'!K540:K559)</x:f>
        <x:v>0</x:v>
      </x:c>
      <x:c r="R34" t="str">
        <x:f>IF(B34="","BUDGET FEHLT",IF(OR(O34&gt;0,P34&gt;0),"NICHT FINANZIERBAR",IF(OR(Q34&gt;0,S34&gt;0),"SONDERBETRAG ÜBRIG","OK")))</x:f>
        <x:v>BUDGET FEHLT</x:v>
      </x:c>
      <x:c r="S34" s="88" t="n">
        <x:f>SUM('ZINS-LAWINE'!K540:K559)</x:f>
        <x:v>0</x:v>
      </x:c>
    </x:row>
    <x:row r="35" ht="21" customHeight="1">
      <x:c r="A35" s="90" t="n">
        <x:f>MONATSBUDGET!A35</x:f>
        <x:v>47058</x:v>
      </x:c>
      <x:c r="B35" s="88" t="str">
        <x:f>MONATSBUDGET!C35</x:f>
      </x:c>
      <x:c r="C35" s="88" t="n">
        <x:f>SUM('SCHNEEBALL'!F560:F579)</x:f>
        <x:v>0</x:v>
      </x:c>
      <x:c r="D35" s="88" t="n">
        <x:f>SUM('SCHNEEBALL'!H560:H579)</x:f>
        <x:v>0</x:v>
      </x:c>
      <x:c r="E35" s="88" t="n">
        <x:f>SUM('SCHNEEBALL'!G560:G579)</x:f>
        <x:v>0</x:v>
      </x:c>
      <x:c r="F35" s="88" t="n">
        <x:f>SUM('SCHNEEBALL'!E560:E579)</x:f>
        <x:v>0</x:v>
      </x:c>
      <x:c r="G35" s="88" t="n">
        <x:f>C35+D35+E35</x:f>
        <x:v>0</x:v>
      </x:c>
      <x:c r="H35" s="88" t="n">
        <x:f>SUM('SCHNEEBALL'!I560:I579)</x:f>
        <x:v>0</x:v>
      </x:c>
      <x:c r="I35" s="88" t="n">
        <x:f>SUM('ZINS-LAWINE'!F560:F579)</x:f>
        <x:v>0</x:v>
      </x:c>
      <x:c r="J35" s="88" t="n">
        <x:f>SUM('ZINS-LAWINE'!H560:H579)</x:f>
        <x:v>0</x:v>
      </x:c>
      <x:c r="K35" s="88" t="n">
        <x:f>SUM('ZINS-LAWINE'!G560:G579)</x:f>
        <x:v>0</x:v>
      </x:c>
      <x:c r="L35" s="88" t="n">
        <x:f>SUM('ZINS-LAWINE'!E560:E579)</x:f>
        <x:v>0</x:v>
      </x:c>
      <x:c r="M35" s="88" t="n">
        <x:f>I35+J35+K35</x:f>
        <x:v>0</x:v>
      </x:c>
      <x:c r="N35" s="88" t="n">
        <x:f>SUM('ZINS-LAWINE'!I560:I579)</x:f>
        <x:v>0</x:v>
      </x:c>
      <x:c r="O35" s="88" t="str">
        <x:f>IF(B35="","",MAX(0,C35-B35))</x:f>
      </x:c>
      <x:c r="P35" s="88" t="str">
        <x:f>IF(B35="","",MAX(0,I35-B35))</x:f>
      </x:c>
      <x:c r="Q35" s="88" t="n">
        <x:f>SUM('SCHNEEBALL'!K560:K579)</x:f>
        <x:v>0</x:v>
      </x:c>
      <x:c r="R35" t="str">
        <x:f>IF(B35="","BUDGET FEHLT",IF(OR(O35&gt;0,P35&gt;0),"NICHT FINANZIERBAR",IF(OR(Q35&gt;0,S35&gt;0),"SONDERBETRAG ÜBRIG","OK")))</x:f>
        <x:v>BUDGET FEHLT</x:v>
      </x:c>
      <x:c r="S35" s="88" t="n">
        <x:f>SUM('ZINS-LAWINE'!K560:K579)</x:f>
        <x:v>0</x:v>
      </x:c>
    </x:row>
    <x:row r="36" ht="21" customHeight="1">
      <x:c r="A36" s="90" t="n">
        <x:f>MONATSBUDGET!A36</x:f>
        <x:v>47088</x:v>
      </x:c>
      <x:c r="B36" s="88" t="str">
        <x:f>MONATSBUDGET!C36</x:f>
      </x:c>
      <x:c r="C36" s="88" t="n">
        <x:f>SUM('SCHNEEBALL'!F580:F599)</x:f>
        <x:v>0</x:v>
      </x:c>
      <x:c r="D36" s="88" t="n">
        <x:f>SUM('SCHNEEBALL'!H580:H599)</x:f>
        <x:v>0</x:v>
      </x:c>
      <x:c r="E36" s="88" t="n">
        <x:f>SUM('SCHNEEBALL'!G580:G599)</x:f>
        <x:v>0</x:v>
      </x:c>
      <x:c r="F36" s="88" t="n">
        <x:f>SUM('SCHNEEBALL'!E580:E599)</x:f>
        <x:v>0</x:v>
      </x:c>
      <x:c r="G36" s="88" t="n">
        <x:f>C36+D36+E36</x:f>
        <x:v>0</x:v>
      </x:c>
      <x:c r="H36" s="88" t="n">
        <x:f>SUM('SCHNEEBALL'!I580:I599)</x:f>
        <x:v>0</x:v>
      </x:c>
      <x:c r="I36" s="88" t="n">
        <x:f>SUM('ZINS-LAWINE'!F580:F599)</x:f>
        <x:v>0</x:v>
      </x:c>
      <x:c r="J36" s="88" t="n">
        <x:f>SUM('ZINS-LAWINE'!H580:H599)</x:f>
        <x:v>0</x:v>
      </x:c>
      <x:c r="K36" s="88" t="n">
        <x:f>SUM('ZINS-LAWINE'!G580:G599)</x:f>
        <x:v>0</x:v>
      </x:c>
      <x:c r="L36" s="88" t="n">
        <x:f>SUM('ZINS-LAWINE'!E580:E599)</x:f>
        <x:v>0</x:v>
      </x:c>
      <x:c r="M36" s="88" t="n">
        <x:f>I36+J36+K36</x:f>
        <x:v>0</x:v>
      </x:c>
      <x:c r="N36" s="88" t="n">
        <x:f>SUM('ZINS-LAWINE'!I580:I599)</x:f>
        <x:v>0</x:v>
      </x:c>
      <x:c r="O36" s="88" t="str">
        <x:f>IF(B36="","",MAX(0,C36-B36))</x:f>
      </x:c>
      <x:c r="P36" s="88" t="str">
        <x:f>IF(B36="","",MAX(0,I36-B36))</x:f>
      </x:c>
      <x:c r="Q36" s="88" t="n">
        <x:f>SUM('SCHNEEBALL'!K580:K599)</x:f>
        <x:v>0</x:v>
      </x:c>
      <x:c r="R36" t="str">
        <x:f>IF(B36="","BUDGET FEHLT",IF(OR(O36&gt;0,P36&gt;0),"NICHT FINANZIERBAR",IF(OR(Q36&gt;0,S36&gt;0),"SONDERBETRAG ÜBRIG","OK")))</x:f>
        <x:v>BUDGET FEHLT</x:v>
      </x:c>
      <x:c r="S36" s="88" t="n">
        <x:f>SUM('ZINS-LAWINE'!K580:K599)</x:f>
        <x:v>0</x:v>
      </x:c>
    </x:row>
    <x:row r="37" ht="21" customHeight="1">
      <x:c r="A37" s="90" t="n">
        <x:f>MONATSBUDGET!A37</x:f>
        <x:v>47119</x:v>
      </x:c>
      <x:c r="B37" s="88" t="str">
        <x:f>MONATSBUDGET!C37</x:f>
      </x:c>
      <x:c r="C37" s="88" t="n">
        <x:f>SUM('SCHNEEBALL'!F600:F619)</x:f>
        <x:v>0</x:v>
      </x:c>
      <x:c r="D37" s="88" t="n">
        <x:f>SUM('SCHNEEBALL'!H600:H619)</x:f>
        <x:v>0</x:v>
      </x:c>
      <x:c r="E37" s="88" t="n">
        <x:f>SUM('SCHNEEBALL'!G600:G619)</x:f>
        <x:v>0</x:v>
      </x:c>
      <x:c r="F37" s="88" t="n">
        <x:f>SUM('SCHNEEBALL'!E600:E619)</x:f>
        <x:v>0</x:v>
      </x:c>
      <x:c r="G37" s="88" t="n">
        <x:f>C37+D37+E37</x:f>
        <x:v>0</x:v>
      </x:c>
      <x:c r="H37" s="88" t="n">
        <x:f>SUM('SCHNEEBALL'!I600:I619)</x:f>
        <x:v>0</x:v>
      </x:c>
      <x:c r="I37" s="88" t="n">
        <x:f>SUM('ZINS-LAWINE'!F600:F619)</x:f>
        <x:v>0</x:v>
      </x:c>
      <x:c r="J37" s="88" t="n">
        <x:f>SUM('ZINS-LAWINE'!H600:H619)</x:f>
        <x:v>0</x:v>
      </x:c>
      <x:c r="K37" s="88" t="n">
        <x:f>SUM('ZINS-LAWINE'!G600:G619)</x:f>
        <x:v>0</x:v>
      </x:c>
      <x:c r="L37" s="88" t="n">
        <x:f>SUM('ZINS-LAWINE'!E600:E619)</x:f>
        <x:v>0</x:v>
      </x:c>
      <x:c r="M37" s="88" t="n">
        <x:f>I37+J37+K37</x:f>
        <x:v>0</x:v>
      </x:c>
      <x:c r="N37" s="88" t="n">
        <x:f>SUM('ZINS-LAWINE'!I600:I619)</x:f>
        <x:v>0</x:v>
      </x:c>
      <x:c r="O37" s="88" t="str">
        <x:f>IF(B37="","",MAX(0,C37-B37))</x:f>
      </x:c>
      <x:c r="P37" s="88" t="str">
        <x:f>IF(B37="","",MAX(0,I37-B37))</x:f>
      </x:c>
      <x:c r="Q37" s="88" t="n">
        <x:f>SUM('SCHNEEBALL'!K600:K619)</x:f>
        <x:v>0</x:v>
      </x:c>
      <x:c r="R37" t="str">
        <x:f>IF(B37="","BUDGET FEHLT",IF(OR(O37&gt;0,P37&gt;0),"NICHT FINANZIERBAR",IF(OR(Q37&gt;0,S37&gt;0),"SONDERBETRAG ÜBRIG","OK")))</x:f>
        <x:v>BUDGET FEHLT</x:v>
      </x:c>
      <x:c r="S37" s="88" t="n">
        <x:f>SUM('ZINS-LAWINE'!K600:K619)</x:f>
        <x:v>0</x:v>
      </x:c>
    </x:row>
    <x:row r="38" ht="21" customHeight="1">
      <x:c r="A38" s="90" t="n">
        <x:f>MONATSBUDGET!A38</x:f>
        <x:v>47150</x:v>
      </x:c>
      <x:c r="B38" s="88" t="str">
        <x:f>MONATSBUDGET!C38</x:f>
      </x:c>
      <x:c r="C38" s="88" t="n">
        <x:f>SUM('SCHNEEBALL'!F620:F639)</x:f>
        <x:v>0</x:v>
      </x:c>
      <x:c r="D38" s="88" t="n">
        <x:f>SUM('SCHNEEBALL'!H620:H639)</x:f>
        <x:v>0</x:v>
      </x:c>
      <x:c r="E38" s="88" t="n">
        <x:f>SUM('SCHNEEBALL'!G620:G639)</x:f>
        <x:v>0</x:v>
      </x:c>
      <x:c r="F38" s="88" t="n">
        <x:f>SUM('SCHNEEBALL'!E620:E639)</x:f>
        <x:v>0</x:v>
      </x:c>
      <x:c r="G38" s="88" t="n">
        <x:f>C38+D38+E38</x:f>
        <x:v>0</x:v>
      </x:c>
      <x:c r="H38" s="88" t="n">
        <x:f>SUM('SCHNEEBALL'!I620:I639)</x:f>
        <x:v>0</x:v>
      </x:c>
      <x:c r="I38" s="88" t="n">
        <x:f>SUM('ZINS-LAWINE'!F620:F639)</x:f>
        <x:v>0</x:v>
      </x:c>
      <x:c r="J38" s="88" t="n">
        <x:f>SUM('ZINS-LAWINE'!H620:H639)</x:f>
        <x:v>0</x:v>
      </x:c>
      <x:c r="K38" s="88" t="n">
        <x:f>SUM('ZINS-LAWINE'!G620:G639)</x:f>
        <x:v>0</x:v>
      </x:c>
      <x:c r="L38" s="88" t="n">
        <x:f>SUM('ZINS-LAWINE'!E620:E639)</x:f>
        <x:v>0</x:v>
      </x:c>
      <x:c r="M38" s="88" t="n">
        <x:f>I38+J38+K38</x:f>
        <x:v>0</x:v>
      </x:c>
      <x:c r="N38" s="88" t="n">
        <x:f>SUM('ZINS-LAWINE'!I620:I639)</x:f>
        <x:v>0</x:v>
      </x:c>
      <x:c r="O38" s="88" t="str">
        <x:f>IF(B38="","",MAX(0,C38-B38))</x:f>
      </x:c>
      <x:c r="P38" s="88" t="str">
        <x:f>IF(B38="","",MAX(0,I38-B38))</x:f>
      </x:c>
      <x:c r="Q38" s="88" t="n">
        <x:f>SUM('SCHNEEBALL'!K620:K639)</x:f>
        <x:v>0</x:v>
      </x:c>
      <x:c r="R38" t="str">
        <x:f>IF(B38="","BUDGET FEHLT",IF(OR(O38&gt;0,P38&gt;0),"NICHT FINANZIERBAR",IF(OR(Q38&gt;0,S38&gt;0),"SONDERBETRAG ÜBRIG","OK")))</x:f>
        <x:v>BUDGET FEHLT</x:v>
      </x:c>
      <x:c r="S38" s="88" t="n">
        <x:f>SUM('ZINS-LAWINE'!K620:K639)</x:f>
        <x:v>0</x:v>
      </x:c>
    </x:row>
    <x:row r="39" ht="21" customHeight="1">
      <x:c r="A39" s="90" t="n">
        <x:f>MONATSBUDGET!A39</x:f>
        <x:v>47178</x:v>
      </x:c>
      <x:c r="B39" s="88" t="str">
        <x:f>MONATSBUDGET!C39</x:f>
      </x:c>
      <x:c r="C39" s="88" t="n">
        <x:f>SUM('SCHNEEBALL'!F640:F659)</x:f>
        <x:v>0</x:v>
      </x:c>
      <x:c r="D39" s="88" t="n">
        <x:f>SUM('SCHNEEBALL'!H640:H659)</x:f>
        <x:v>0</x:v>
      </x:c>
      <x:c r="E39" s="88" t="n">
        <x:f>SUM('SCHNEEBALL'!G640:G659)</x:f>
        <x:v>0</x:v>
      </x:c>
      <x:c r="F39" s="88" t="n">
        <x:f>SUM('SCHNEEBALL'!E640:E659)</x:f>
        <x:v>0</x:v>
      </x:c>
      <x:c r="G39" s="88" t="n">
        <x:f>C39+D39+E39</x:f>
        <x:v>0</x:v>
      </x:c>
      <x:c r="H39" s="88" t="n">
        <x:f>SUM('SCHNEEBALL'!I640:I659)</x:f>
        <x:v>0</x:v>
      </x:c>
      <x:c r="I39" s="88" t="n">
        <x:f>SUM('ZINS-LAWINE'!F640:F659)</x:f>
        <x:v>0</x:v>
      </x:c>
      <x:c r="J39" s="88" t="n">
        <x:f>SUM('ZINS-LAWINE'!H640:H659)</x:f>
        <x:v>0</x:v>
      </x:c>
      <x:c r="K39" s="88" t="n">
        <x:f>SUM('ZINS-LAWINE'!G640:G659)</x:f>
        <x:v>0</x:v>
      </x:c>
      <x:c r="L39" s="88" t="n">
        <x:f>SUM('ZINS-LAWINE'!E640:E659)</x:f>
        <x:v>0</x:v>
      </x:c>
      <x:c r="M39" s="88" t="n">
        <x:f>I39+J39+K39</x:f>
        <x:v>0</x:v>
      </x:c>
      <x:c r="N39" s="88" t="n">
        <x:f>SUM('ZINS-LAWINE'!I640:I659)</x:f>
        <x:v>0</x:v>
      </x:c>
      <x:c r="O39" s="88" t="str">
        <x:f>IF(B39="","",MAX(0,C39-B39))</x:f>
      </x:c>
      <x:c r="P39" s="88" t="str">
        <x:f>IF(B39="","",MAX(0,I39-B39))</x:f>
      </x:c>
      <x:c r="Q39" s="88" t="n">
        <x:f>SUM('SCHNEEBALL'!K640:K659)</x:f>
        <x:v>0</x:v>
      </x:c>
      <x:c r="R39" t="str">
        <x:f>IF(B39="","BUDGET FEHLT",IF(OR(O39&gt;0,P39&gt;0),"NICHT FINANZIERBAR",IF(OR(Q39&gt;0,S39&gt;0),"SONDERBETRAG ÜBRIG","OK")))</x:f>
        <x:v>BUDGET FEHLT</x:v>
      </x:c>
      <x:c r="S39" s="88" t="n">
        <x:f>SUM('ZINS-LAWINE'!K640:K659)</x:f>
        <x:v>0</x:v>
      </x:c>
    </x:row>
    <x:row r="40" ht="21" customHeight="1">
      <x:c r="A40" s="90" t="n">
        <x:f>MONATSBUDGET!A40</x:f>
        <x:v>47209</x:v>
      </x:c>
      <x:c r="B40" s="88" t="str">
        <x:f>MONATSBUDGET!C40</x:f>
      </x:c>
      <x:c r="C40" s="88" t="n">
        <x:f>SUM('SCHNEEBALL'!F660:F679)</x:f>
        <x:v>0</x:v>
      </x:c>
      <x:c r="D40" s="88" t="n">
        <x:f>SUM('SCHNEEBALL'!H660:H679)</x:f>
        <x:v>0</x:v>
      </x:c>
      <x:c r="E40" s="88" t="n">
        <x:f>SUM('SCHNEEBALL'!G660:G679)</x:f>
        <x:v>0</x:v>
      </x:c>
      <x:c r="F40" s="88" t="n">
        <x:f>SUM('SCHNEEBALL'!E660:E679)</x:f>
        <x:v>0</x:v>
      </x:c>
      <x:c r="G40" s="88" t="n">
        <x:f>C40+D40+E40</x:f>
        <x:v>0</x:v>
      </x:c>
      <x:c r="H40" s="88" t="n">
        <x:f>SUM('SCHNEEBALL'!I660:I679)</x:f>
        <x:v>0</x:v>
      </x:c>
      <x:c r="I40" s="88" t="n">
        <x:f>SUM('ZINS-LAWINE'!F660:F679)</x:f>
        <x:v>0</x:v>
      </x:c>
      <x:c r="J40" s="88" t="n">
        <x:f>SUM('ZINS-LAWINE'!H660:H679)</x:f>
        <x:v>0</x:v>
      </x:c>
      <x:c r="K40" s="88" t="n">
        <x:f>SUM('ZINS-LAWINE'!G660:G679)</x:f>
        <x:v>0</x:v>
      </x:c>
      <x:c r="L40" s="88" t="n">
        <x:f>SUM('ZINS-LAWINE'!E660:E679)</x:f>
        <x:v>0</x:v>
      </x:c>
      <x:c r="M40" s="88" t="n">
        <x:f>I40+J40+K40</x:f>
        <x:v>0</x:v>
      </x:c>
      <x:c r="N40" s="88" t="n">
        <x:f>SUM('ZINS-LAWINE'!I660:I679)</x:f>
        <x:v>0</x:v>
      </x:c>
      <x:c r="O40" s="88" t="str">
        <x:f>IF(B40="","",MAX(0,C40-B40))</x:f>
      </x:c>
      <x:c r="P40" s="88" t="str">
        <x:f>IF(B40="","",MAX(0,I40-B40))</x:f>
      </x:c>
      <x:c r="Q40" s="88" t="n">
        <x:f>SUM('SCHNEEBALL'!K660:K679)</x:f>
        <x:v>0</x:v>
      </x:c>
      <x:c r="R40" t="str">
        <x:f>IF(B40="","BUDGET FEHLT",IF(OR(O40&gt;0,P40&gt;0),"NICHT FINANZIERBAR",IF(OR(Q40&gt;0,S40&gt;0),"SONDERBETRAG ÜBRIG","OK")))</x:f>
        <x:v>BUDGET FEHLT</x:v>
      </x:c>
      <x:c r="S40" s="88" t="n">
        <x:f>SUM('ZINS-LAWINE'!K660:K679)</x:f>
        <x:v>0</x:v>
      </x:c>
    </x:row>
    <x:row r="41" ht="21" customHeight="1">
      <x:c r="A41" s="90" t="n">
        <x:f>MONATSBUDGET!A41</x:f>
        <x:v>47239</x:v>
      </x:c>
      <x:c r="B41" s="88" t="str">
        <x:f>MONATSBUDGET!C41</x:f>
      </x:c>
      <x:c r="C41" s="88" t="n">
        <x:f>SUM('SCHNEEBALL'!F680:F699)</x:f>
        <x:v>0</x:v>
      </x:c>
      <x:c r="D41" s="88" t="n">
        <x:f>SUM('SCHNEEBALL'!H680:H699)</x:f>
        <x:v>0</x:v>
      </x:c>
      <x:c r="E41" s="88" t="n">
        <x:f>SUM('SCHNEEBALL'!G680:G699)</x:f>
        <x:v>0</x:v>
      </x:c>
      <x:c r="F41" s="88" t="n">
        <x:f>SUM('SCHNEEBALL'!E680:E699)</x:f>
        <x:v>0</x:v>
      </x:c>
      <x:c r="G41" s="88" t="n">
        <x:f>C41+D41+E41</x:f>
        <x:v>0</x:v>
      </x:c>
      <x:c r="H41" s="88" t="n">
        <x:f>SUM('SCHNEEBALL'!I680:I699)</x:f>
        <x:v>0</x:v>
      </x:c>
      <x:c r="I41" s="88" t="n">
        <x:f>SUM('ZINS-LAWINE'!F680:F699)</x:f>
        <x:v>0</x:v>
      </x:c>
      <x:c r="J41" s="88" t="n">
        <x:f>SUM('ZINS-LAWINE'!H680:H699)</x:f>
        <x:v>0</x:v>
      </x:c>
      <x:c r="K41" s="88" t="n">
        <x:f>SUM('ZINS-LAWINE'!G680:G699)</x:f>
        <x:v>0</x:v>
      </x:c>
      <x:c r="L41" s="88" t="n">
        <x:f>SUM('ZINS-LAWINE'!E680:E699)</x:f>
        <x:v>0</x:v>
      </x:c>
      <x:c r="M41" s="88" t="n">
        <x:f>I41+J41+K41</x:f>
        <x:v>0</x:v>
      </x:c>
      <x:c r="N41" s="88" t="n">
        <x:f>SUM('ZINS-LAWINE'!I680:I699)</x:f>
        <x:v>0</x:v>
      </x:c>
      <x:c r="O41" s="88" t="str">
        <x:f>IF(B41="","",MAX(0,C41-B41))</x:f>
      </x:c>
      <x:c r="P41" s="88" t="str">
        <x:f>IF(B41="","",MAX(0,I41-B41))</x:f>
      </x:c>
      <x:c r="Q41" s="88" t="n">
        <x:f>SUM('SCHNEEBALL'!K680:K699)</x:f>
        <x:v>0</x:v>
      </x:c>
      <x:c r="R41" t="str">
        <x:f>IF(B41="","BUDGET FEHLT",IF(OR(O41&gt;0,P41&gt;0),"NICHT FINANZIERBAR",IF(OR(Q41&gt;0,S41&gt;0),"SONDERBETRAG ÜBRIG","OK")))</x:f>
        <x:v>BUDGET FEHLT</x:v>
      </x:c>
      <x:c r="S41" s="88" t="n">
        <x:f>SUM('ZINS-LAWINE'!K680:K699)</x:f>
        <x:v>0</x:v>
      </x:c>
    </x:row>
    <x:row r="42" ht="21" customHeight="1">
      <x:c r="A42" s="90" t="n">
        <x:f>MONATSBUDGET!A42</x:f>
        <x:v>47270</x:v>
      </x:c>
      <x:c r="B42" s="88" t="str">
        <x:f>MONATSBUDGET!C42</x:f>
      </x:c>
      <x:c r="C42" s="88" t="n">
        <x:f>SUM('SCHNEEBALL'!F700:F719)</x:f>
        <x:v>0</x:v>
      </x:c>
      <x:c r="D42" s="88" t="n">
        <x:f>SUM('SCHNEEBALL'!H700:H719)</x:f>
        <x:v>0</x:v>
      </x:c>
      <x:c r="E42" s="88" t="n">
        <x:f>SUM('SCHNEEBALL'!G700:G719)</x:f>
        <x:v>0</x:v>
      </x:c>
      <x:c r="F42" s="88" t="n">
        <x:f>SUM('SCHNEEBALL'!E700:E719)</x:f>
        <x:v>0</x:v>
      </x:c>
      <x:c r="G42" s="88" t="n">
        <x:f>C42+D42+E42</x:f>
        <x:v>0</x:v>
      </x:c>
      <x:c r="H42" s="88" t="n">
        <x:f>SUM('SCHNEEBALL'!I700:I719)</x:f>
        <x:v>0</x:v>
      </x:c>
      <x:c r="I42" s="88" t="n">
        <x:f>SUM('ZINS-LAWINE'!F700:F719)</x:f>
        <x:v>0</x:v>
      </x:c>
      <x:c r="J42" s="88" t="n">
        <x:f>SUM('ZINS-LAWINE'!H700:H719)</x:f>
        <x:v>0</x:v>
      </x:c>
      <x:c r="K42" s="88" t="n">
        <x:f>SUM('ZINS-LAWINE'!G700:G719)</x:f>
        <x:v>0</x:v>
      </x:c>
      <x:c r="L42" s="88" t="n">
        <x:f>SUM('ZINS-LAWINE'!E700:E719)</x:f>
        <x:v>0</x:v>
      </x:c>
      <x:c r="M42" s="88" t="n">
        <x:f>I42+J42+K42</x:f>
        <x:v>0</x:v>
      </x:c>
      <x:c r="N42" s="88" t="n">
        <x:f>SUM('ZINS-LAWINE'!I700:I719)</x:f>
        <x:v>0</x:v>
      </x:c>
      <x:c r="O42" s="88" t="str">
        <x:f>IF(B42="","",MAX(0,C42-B42))</x:f>
      </x:c>
      <x:c r="P42" s="88" t="str">
        <x:f>IF(B42="","",MAX(0,I42-B42))</x:f>
      </x:c>
      <x:c r="Q42" s="88" t="n">
        <x:f>SUM('SCHNEEBALL'!K700:K719)</x:f>
        <x:v>0</x:v>
      </x:c>
      <x:c r="R42" t="str">
        <x:f>IF(B42="","BUDGET FEHLT",IF(OR(O42&gt;0,P42&gt;0),"NICHT FINANZIERBAR",IF(OR(Q42&gt;0,S42&gt;0),"SONDERBETRAG ÜBRIG","OK")))</x:f>
        <x:v>BUDGET FEHLT</x:v>
      </x:c>
      <x:c r="S42" s="88" t="n">
        <x:f>SUM('ZINS-LAWINE'!K700:K719)</x:f>
        <x:v>0</x:v>
      </x:c>
    </x:row>
    <x:row r="43" ht="21" customHeight="1">
      <x:c r="A43" s="90" t="n">
        <x:f>MONATSBUDGET!A43</x:f>
        <x:v>47300</x:v>
      </x:c>
      <x:c r="B43" s="88" t="str">
        <x:f>MONATSBUDGET!C43</x:f>
      </x:c>
      <x:c r="C43" s="88" t="n">
        <x:f>SUM('SCHNEEBALL'!F720:F739)</x:f>
        <x:v>0</x:v>
      </x:c>
      <x:c r="D43" s="88" t="n">
        <x:f>SUM('SCHNEEBALL'!H720:H739)</x:f>
        <x:v>0</x:v>
      </x:c>
      <x:c r="E43" s="88" t="n">
        <x:f>SUM('SCHNEEBALL'!G720:G739)</x:f>
        <x:v>0</x:v>
      </x:c>
      <x:c r="F43" s="88" t="n">
        <x:f>SUM('SCHNEEBALL'!E720:E739)</x:f>
        <x:v>0</x:v>
      </x:c>
      <x:c r="G43" s="88" t="n">
        <x:f>C43+D43+E43</x:f>
        <x:v>0</x:v>
      </x:c>
      <x:c r="H43" s="88" t="n">
        <x:f>SUM('SCHNEEBALL'!I720:I739)</x:f>
        <x:v>0</x:v>
      </x:c>
      <x:c r="I43" s="88" t="n">
        <x:f>SUM('ZINS-LAWINE'!F720:F739)</x:f>
        <x:v>0</x:v>
      </x:c>
      <x:c r="J43" s="88" t="n">
        <x:f>SUM('ZINS-LAWINE'!H720:H739)</x:f>
        <x:v>0</x:v>
      </x:c>
      <x:c r="K43" s="88" t="n">
        <x:f>SUM('ZINS-LAWINE'!G720:G739)</x:f>
        <x:v>0</x:v>
      </x:c>
      <x:c r="L43" s="88" t="n">
        <x:f>SUM('ZINS-LAWINE'!E720:E739)</x:f>
        <x:v>0</x:v>
      </x:c>
      <x:c r="M43" s="88" t="n">
        <x:f>I43+J43+K43</x:f>
        <x:v>0</x:v>
      </x:c>
      <x:c r="N43" s="88" t="n">
        <x:f>SUM('ZINS-LAWINE'!I720:I739)</x:f>
        <x:v>0</x:v>
      </x:c>
      <x:c r="O43" s="88" t="str">
        <x:f>IF(B43="","",MAX(0,C43-B43))</x:f>
      </x:c>
      <x:c r="P43" s="88" t="str">
        <x:f>IF(B43="","",MAX(0,I43-B43))</x:f>
      </x:c>
      <x:c r="Q43" s="88" t="n">
        <x:f>SUM('SCHNEEBALL'!K720:K739)</x:f>
        <x:v>0</x:v>
      </x:c>
      <x:c r="R43" t="str">
        <x:f>IF(B43="","BUDGET FEHLT",IF(OR(O43&gt;0,P43&gt;0),"NICHT FINANZIERBAR",IF(OR(Q43&gt;0,S43&gt;0),"SONDERBETRAG ÜBRIG","OK")))</x:f>
        <x:v>BUDGET FEHLT</x:v>
      </x:c>
      <x:c r="S43" s="88" t="n">
        <x:f>SUM('ZINS-LAWINE'!K720:K739)</x:f>
        <x:v>0</x:v>
      </x:c>
    </x:row>
    <x:row r="44" ht="21" customHeight="1">
      <x:c r="A44" s="90" t="n">
        <x:f>MONATSBUDGET!A44</x:f>
        <x:v>47331</x:v>
      </x:c>
      <x:c r="B44" s="88" t="str">
        <x:f>MONATSBUDGET!C44</x:f>
      </x:c>
      <x:c r="C44" s="88" t="n">
        <x:f>SUM('SCHNEEBALL'!F740:F759)</x:f>
        <x:v>0</x:v>
      </x:c>
      <x:c r="D44" s="88" t="n">
        <x:f>SUM('SCHNEEBALL'!H740:H759)</x:f>
        <x:v>0</x:v>
      </x:c>
      <x:c r="E44" s="88" t="n">
        <x:f>SUM('SCHNEEBALL'!G740:G759)</x:f>
        <x:v>0</x:v>
      </x:c>
      <x:c r="F44" s="88" t="n">
        <x:f>SUM('SCHNEEBALL'!E740:E759)</x:f>
        <x:v>0</x:v>
      </x:c>
      <x:c r="G44" s="88" t="n">
        <x:f>C44+D44+E44</x:f>
        <x:v>0</x:v>
      </x:c>
      <x:c r="H44" s="88" t="n">
        <x:f>SUM('SCHNEEBALL'!I740:I759)</x:f>
        <x:v>0</x:v>
      </x:c>
      <x:c r="I44" s="88" t="n">
        <x:f>SUM('ZINS-LAWINE'!F740:F759)</x:f>
        <x:v>0</x:v>
      </x:c>
      <x:c r="J44" s="88" t="n">
        <x:f>SUM('ZINS-LAWINE'!H740:H759)</x:f>
        <x:v>0</x:v>
      </x:c>
      <x:c r="K44" s="88" t="n">
        <x:f>SUM('ZINS-LAWINE'!G740:G759)</x:f>
        <x:v>0</x:v>
      </x:c>
      <x:c r="L44" s="88" t="n">
        <x:f>SUM('ZINS-LAWINE'!E740:E759)</x:f>
        <x:v>0</x:v>
      </x:c>
      <x:c r="M44" s="88" t="n">
        <x:f>I44+J44+K44</x:f>
        <x:v>0</x:v>
      </x:c>
      <x:c r="N44" s="88" t="n">
        <x:f>SUM('ZINS-LAWINE'!I740:I759)</x:f>
        <x:v>0</x:v>
      </x:c>
      <x:c r="O44" s="88" t="str">
        <x:f>IF(B44="","",MAX(0,C44-B44))</x:f>
      </x:c>
      <x:c r="P44" s="88" t="str">
        <x:f>IF(B44="","",MAX(0,I44-B44))</x:f>
      </x:c>
      <x:c r="Q44" s="88" t="n">
        <x:f>SUM('SCHNEEBALL'!K740:K759)</x:f>
        <x:v>0</x:v>
      </x:c>
      <x:c r="R44" t="str">
        <x:f>IF(B44="","BUDGET FEHLT",IF(OR(O44&gt;0,P44&gt;0),"NICHT FINANZIERBAR",IF(OR(Q44&gt;0,S44&gt;0),"SONDERBETRAG ÜBRIG","OK")))</x:f>
        <x:v>BUDGET FEHLT</x:v>
      </x:c>
      <x:c r="S44" s="88" t="n">
        <x:f>SUM('ZINS-LAWINE'!K740:K759)</x:f>
        <x:v>0</x:v>
      </x:c>
    </x:row>
    <x:row r="45" ht="21" customHeight="1">
      <x:c r="A45" s="90" t="n">
        <x:f>MONATSBUDGET!A45</x:f>
        <x:v>47362</x:v>
      </x:c>
      <x:c r="B45" s="88" t="str">
        <x:f>MONATSBUDGET!C45</x:f>
      </x:c>
      <x:c r="C45" s="88" t="n">
        <x:f>SUM('SCHNEEBALL'!F760:F779)</x:f>
        <x:v>0</x:v>
      </x:c>
      <x:c r="D45" s="88" t="n">
        <x:f>SUM('SCHNEEBALL'!H760:H779)</x:f>
        <x:v>0</x:v>
      </x:c>
      <x:c r="E45" s="88" t="n">
        <x:f>SUM('SCHNEEBALL'!G760:G779)</x:f>
        <x:v>0</x:v>
      </x:c>
      <x:c r="F45" s="88" t="n">
        <x:f>SUM('SCHNEEBALL'!E760:E779)</x:f>
        <x:v>0</x:v>
      </x:c>
      <x:c r="G45" s="88" t="n">
        <x:f>C45+D45+E45</x:f>
        <x:v>0</x:v>
      </x:c>
      <x:c r="H45" s="88" t="n">
        <x:f>SUM('SCHNEEBALL'!I760:I779)</x:f>
        <x:v>0</x:v>
      </x:c>
      <x:c r="I45" s="88" t="n">
        <x:f>SUM('ZINS-LAWINE'!F760:F779)</x:f>
        <x:v>0</x:v>
      </x:c>
      <x:c r="J45" s="88" t="n">
        <x:f>SUM('ZINS-LAWINE'!H760:H779)</x:f>
        <x:v>0</x:v>
      </x:c>
      <x:c r="K45" s="88" t="n">
        <x:f>SUM('ZINS-LAWINE'!G760:G779)</x:f>
        <x:v>0</x:v>
      </x:c>
      <x:c r="L45" s="88" t="n">
        <x:f>SUM('ZINS-LAWINE'!E760:E779)</x:f>
        <x:v>0</x:v>
      </x:c>
      <x:c r="M45" s="88" t="n">
        <x:f>I45+J45+K45</x:f>
        <x:v>0</x:v>
      </x:c>
      <x:c r="N45" s="88" t="n">
        <x:f>SUM('ZINS-LAWINE'!I760:I779)</x:f>
        <x:v>0</x:v>
      </x:c>
      <x:c r="O45" s="88" t="str">
        <x:f>IF(B45="","",MAX(0,C45-B45))</x:f>
      </x:c>
      <x:c r="P45" s="88" t="str">
        <x:f>IF(B45="","",MAX(0,I45-B45))</x:f>
      </x:c>
      <x:c r="Q45" s="88" t="n">
        <x:f>SUM('SCHNEEBALL'!K760:K779)</x:f>
        <x:v>0</x:v>
      </x:c>
      <x:c r="R45" t="str">
        <x:f>IF(B45="","BUDGET FEHLT",IF(OR(O45&gt;0,P45&gt;0),"NICHT FINANZIERBAR",IF(OR(Q45&gt;0,S45&gt;0),"SONDERBETRAG ÜBRIG","OK")))</x:f>
        <x:v>BUDGET FEHLT</x:v>
      </x:c>
      <x:c r="S45" s="88" t="n">
        <x:f>SUM('ZINS-LAWINE'!K760:K779)</x:f>
        <x:v>0</x:v>
      </x:c>
    </x:row>
    <x:row r="46" ht="21" customHeight="1">
      <x:c r="A46" s="90" t="n">
        <x:f>MONATSBUDGET!A46</x:f>
        <x:v>47392</x:v>
      </x:c>
      <x:c r="B46" s="88" t="str">
        <x:f>MONATSBUDGET!C46</x:f>
      </x:c>
      <x:c r="C46" s="88" t="n">
        <x:f>SUM('SCHNEEBALL'!F780:F799)</x:f>
        <x:v>0</x:v>
      </x:c>
      <x:c r="D46" s="88" t="n">
        <x:f>SUM('SCHNEEBALL'!H780:H799)</x:f>
        <x:v>0</x:v>
      </x:c>
      <x:c r="E46" s="88" t="n">
        <x:f>SUM('SCHNEEBALL'!G780:G799)</x:f>
        <x:v>0</x:v>
      </x:c>
      <x:c r="F46" s="88" t="n">
        <x:f>SUM('SCHNEEBALL'!E780:E799)</x:f>
        <x:v>0</x:v>
      </x:c>
      <x:c r="G46" s="88" t="n">
        <x:f>C46+D46+E46</x:f>
        <x:v>0</x:v>
      </x:c>
      <x:c r="H46" s="88" t="n">
        <x:f>SUM('SCHNEEBALL'!I780:I799)</x:f>
        <x:v>0</x:v>
      </x:c>
      <x:c r="I46" s="88" t="n">
        <x:f>SUM('ZINS-LAWINE'!F780:F799)</x:f>
        <x:v>0</x:v>
      </x:c>
      <x:c r="J46" s="88" t="n">
        <x:f>SUM('ZINS-LAWINE'!H780:H799)</x:f>
        <x:v>0</x:v>
      </x:c>
      <x:c r="K46" s="88" t="n">
        <x:f>SUM('ZINS-LAWINE'!G780:G799)</x:f>
        <x:v>0</x:v>
      </x:c>
      <x:c r="L46" s="88" t="n">
        <x:f>SUM('ZINS-LAWINE'!E780:E799)</x:f>
        <x:v>0</x:v>
      </x:c>
      <x:c r="M46" s="88" t="n">
        <x:f>I46+J46+K46</x:f>
        <x:v>0</x:v>
      </x:c>
      <x:c r="N46" s="88" t="n">
        <x:f>SUM('ZINS-LAWINE'!I780:I799)</x:f>
        <x:v>0</x:v>
      </x:c>
      <x:c r="O46" s="88" t="str">
        <x:f>IF(B46="","",MAX(0,C46-B46))</x:f>
      </x:c>
      <x:c r="P46" s="88" t="str">
        <x:f>IF(B46="","",MAX(0,I46-B46))</x:f>
      </x:c>
      <x:c r="Q46" s="88" t="n">
        <x:f>SUM('SCHNEEBALL'!K780:K799)</x:f>
        <x:v>0</x:v>
      </x:c>
      <x:c r="R46" t="str">
        <x:f>IF(B46="","BUDGET FEHLT",IF(OR(O46&gt;0,P46&gt;0),"NICHT FINANZIERBAR",IF(OR(Q46&gt;0,S46&gt;0),"SONDERBETRAG ÜBRIG","OK")))</x:f>
        <x:v>BUDGET FEHLT</x:v>
      </x:c>
      <x:c r="S46" s="88" t="n">
        <x:f>SUM('ZINS-LAWINE'!K780:K799)</x:f>
        <x:v>0</x:v>
      </x:c>
    </x:row>
    <x:row r="47" ht="21" customHeight="1">
      <x:c r="A47" s="90" t="n">
        <x:f>MONATSBUDGET!A47</x:f>
        <x:v>47423</x:v>
      </x:c>
      <x:c r="B47" s="88" t="str">
        <x:f>MONATSBUDGET!C47</x:f>
      </x:c>
      <x:c r="C47" s="88" t="n">
        <x:f>SUM('SCHNEEBALL'!F800:F819)</x:f>
        <x:v>0</x:v>
      </x:c>
      <x:c r="D47" s="88" t="n">
        <x:f>SUM('SCHNEEBALL'!H800:H819)</x:f>
        <x:v>0</x:v>
      </x:c>
      <x:c r="E47" s="88" t="n">
        <x:f>SUM('SCHNEEBALL'!G800:G819)</x:f>
        <x:v>0</x:v>
      </x:c>
      <x:c r="F47" s="88" t="n">
        <x:f>SUM('SCHNEEBALL'!E800:E819)</x:f>
        <x:v>0</x:v>
      </x:c>
      <x:c r="G47" s="88" t="n">
        <x:f>C47+D47+E47</x:f>
        <x:v>0</x:v>
      </x:c>
      <x:c r="H47" s="88" t="n">
        <x:f>SUM('SCHNEEBALL'!I800:I819)</x:f>
        <x:v>0</x:v>
      </x:c>
      <x:c r="I47" s="88" t="n">
        <x:f>SUM('ZINS-LAWINE'!F800:F819)</x:f>
        <x:v>0</x:v>
      </x:c>
      <x:c r="J47" s="88" t="n">
        <x:f>SUM('ZINS-LAWINE'!H800:H819)</x:f>
        <x:v>0</x:v>
      </x:c>
      <x:c r="K47" s="88" t="n">
        <x:f>SUM('ZINS-LAWINE'!G800:G819)</x:f>
        <x:v>0</x:v>
      </x:c>
      <x:c r="L47" s="88" t="n">
        <x:f>SUM('ZINS-LAWINE'!E800:E819)</x:f>
        <x:v>0</x:v>
      </x:c>
      <x:c r="M47" s="88" t="n">
        <x:f>I47+J47+K47</x:f>
        <x:v>0</x:v>
      </x:c>
      <x:c r="N47" s="88" t="n">
        <x:f>SUM('ZINS-LAWINE'!I800:I819)</x:f>
        <x:v>0</x:v>
      </x:c>
      <x:c r="O47" s="88" t="str">
        <x:f>IF(B47="","",MAX(0,C47-B47))</x:f>
      </x:c>
      <x:c r="P47" s="88" t="str">
        <x:f>IF(B47="","",MAX(0,I47-B47))</x:f>
      </x:c>
      <x:c r="Q47" s="88" t="n">
        <x:f>SUM('SCHNEEBALL'!K800:K819)</x:f>
        <x:v>0</x:v>
      </x:c>
      <x:c r="R47" t="str">
        <x:f>IF(B47="","BUDGET FEHLT",IF(OR(O47&gt;0,P47&gt;0),"NICHT FINANZIERBAR",IF(OR(Q47&gt;0,S47&gt;0),"SONDERBETRAG ÜBRIG","OK")))</x:f>
        <x:v>BUDGET FEHLT</x:v>
      </x:c>
      <x:c r="S47" s="88" t="n">
        <x:f>SUM('ZINS-LAWINE'!K800:K819)</x:f>
        <x:v>0</x:v>
      </x:c>
    </x:row>
    <x:row r="48" ht="21" customHeight="1">
      <x:c r="A48" s="90" t="n">
        <x:f>MONATSBUDGET!A48</x:f>
        <x:v>47453</x:v>
      </x:c>
      <x:c r="B48" s="88" t="str">
        <x:f>MONATSBUDGET!C48</x:f>
      </x:c>
      <x:c r="C48" s="88" t="n">
        <x:f>SUM('SCHNEEBALL'!F820:F839)</x:f>
        <x:v>0</x:v>
      </x:c>
      <x:c r="D48" s="88" t="n">
        <x:f>SUM('SCHNEEBALL'!H820:H839)</x:f>
        <x:v>0</x:v>
      </x:c>
      <x:c r="E48" s="88" t="n">
        <x:f>SUM('SCHNEEBALL'!G820:G839)</x:f>
        <x:v>0</x:v>
      </x:c>
      <x:c r="F48" s="88" t="n">
        <x:f>SUM('SCHNEEBALL'!E820:E839)</x:f>
        <x:v>0</x:v>
      </x:c>
      <x:c r="G48" s="88" t="n">
        <x:f>C48+D48+E48</x:f>
        <x:v>0</x:v>
      </x:c>
      <x:c r="H48" s="88" t="n">
        <x:f>SUM('SCHNEEBALL'!I820:I839)</x:f>
        <x:v>0</x:v>
      </x:c>
      <x:c r="I48" s="88" t="n">
        <x:f>SUM('ZINS-LAWINE'!F820:F839)</x:f>
        <x:v>0</x:v>
      </x:c>
      <x:c r="J48" s="88" t="n">
        <x:f>SUM('ZINS-LAWINE'!H820:H839)</x:f>
        <x:v>0</x:v>
      </x:c>
      <x:c r="K48" s="88" t="n">
        <x:f>SUM('ZINS-LAWINE'!G820:G839)</x:f>
        <x:v>0</x:v>
      </x:c>
      <x:c r="L48" s="88" t="n">
        <x:f>SUM('ZINS-LAWINE'!E820:E839)</x:f>
        <x:v>0</x:v>
      </x:c>
      <x:c r="M48" s="88" t="n">
        <x:f>I48+J48+K48</x:f>
        <x:v>0</x:v>
      </x:c>
      <x:c r="N48" s="88" t="n">
        <x:f>SUM('ZINS-LAWINE'!I820:I839)</x:f>
        <x:v>0</x:v>
      </x:c>
      <x:c r="O48" s="88" t="str">
        <x:f>IF(B48="","",MAX(0,C48-B48))</x:f>
      </x:c>
      <x:c r="P48" s="88" t="str">
        <x:f>IF(B48="","",MAX(0,I48-B48))</x:f>
      </x:c>
      <x:c r="Q48" s="88" t="n">
        <x:f>SUM('SCHNEEBALL'!K820:K839)</x:f>
        <x:v>0</x:v>
      </x:c>
      <x:c r="R48" t="str">
        <x:f>IF(B48="","BUDGET FEHLT",IF(OR(O48&gt;0,P48&gt;0),"NICHT FINANZIERBAR",IF(OR(Q48&gt;0,S48&gt;0),"SONDERBETRAG ÜBRIG","OK")))</x:f>
        <x:v>BUDGET FEHLT</x:v>
      </x:c>
      <x:c r="S48" s="88" t="n">
        <x:f>SUM('ZINS-LAWINE'!K820:K839)</x:f>
        <x:v>0</x:v>
      </x:c>
    </x:row>
    <x:row r="49" ht="21" customHeight="1">
      <x:c r="A49" s="90" t="n">
        <x:f>MONATSBUDGET!A49</x:f>
        <x:v>47484</x:v>
      </x:c>
      <x:c r="B49" s="88" t="str">
        <x:f>MONATSBUDGET!C49</x:f>
      </x:c>
      <x:c r="C49" s="88" t="n">
        <x:f>SUM('SCHNEEBALL'!F840:F859)</x:f>
        <x:v>0</x:v>
      </x:c>
      <x:c r="D49" s="88" t="n">
        <x:f>SUM('SCHNEEBALL'!H840:H859)</x:f>
        <x:v>0</x:v>
      </x:c>
      <x:c r="E49" s="88" t="n">
        <x:f>SUM('SCHNEEBALL'!G840:G859)</x:f>
        <x:v>0</x:v>
      </x:c>
      <x:c r="F49" s="88" t="n">
        <x:f>SUM('SCHNEEBALL'!E840:E859)</x:f>
        <x:v>0</x:v>
      </x:c>
      <x:c r="G49" s="88" t="n">
        <x:f>C49+D49+E49</x:f>
        <x:v>0</x:v>
      </x:c>
      <x:c r="H49" s="88" t="n">
        <x:f>SUM('SCHNEEBALL'!I840:I859)</x:f>
        <x:v>0</x:v>
      </x:c>
      <x:c r="I49" s="88" t="n">
        <x:f>SUM('ZINS-LAWINE'!F840:F859)</x:f>
        <x:v>0</x:v>
      </x:c>
      <x:c r="J49" s="88" t="n">
        <x:f>SUM('ZINS-LAWINE'!H840:H859)</x:f>
        <x:v>0</x:v>
      </x:c>
      <x:c r="K49" s="88" t="n">
        <x:f>SUM('ZINS-LAWINE'!G840:G859)</x:f>
        <x:v>0</x:v>
      </x:c>
      <x:c r="L49" s="88" t="n">
        <x:f>SUM('ZINS-LAWINE'!E840:E859)</x:f>
        <x:v>0</x:v>
      </x:c>
      <x:c r="M49" s="88" t="n">
        <x:f>I49+J49+K49</x:f>
        <x:v>0</x:v>
      </x:c>
      <x:c r="N49" s="88" t="n">
        <x:f>SUM('ZINS-LAWINE'!I840:I859)</x:f>
        <x:v>0</x:v>
      </x:c>
      <x:c r="O49" s="88" t="str">
        <x:f>IF(B49="","",MAX(0,C49-B49))</x:f>
      </x:c>
      <x:c r="P49" s="88" t="str">
        <x:f>IF(B49="","",MAX(0,I49-B49))</x:f>
      </x:c>
      <x:c r="Q49" s="88" t="n">
        <x:f>SUM('SCHNEEBALL'!K840:K859)</x:f>
        <x:v>0</x:v>
      </x:c>
      <x:c r="R49" t="str">
        <x:f>IF(B49="","BUDGET FEHLT",IF(OR(O49&gt;0,P49&gt;0),"NICHT FINANZIERBAR",IF(OR(Q49&gt;0,S49&gt;0),"SONDERBETRAG ÜBRIG","OK")))</x:f>
        <x:v>BUDGET FEHLT</x:v>
      </x:c>
      <x:c r="S49" s="88" t="n">
        <x:f>SUM('ZINS-LAWINE'!K840:K859)</x:f>
        <x:v>0</x:v>
      </x:c>
    </x:row>
    <x:row r="50" ht="21" customHeight="1">
      <x:c r="A50" s="90" t="n">
        <x:f>MONATSBUDGET!A50</x:f>
        <x:v>47515</x:v>
      </x:c>
      <x:c r="B50" s="88" t="str">
        <x:f>MONATSBUDGET!C50</x:f>
      </x:c>
      <x:c r="C50" s="88" t="n">
        <x:f>SUM('SCHNEEBALL'!F860:F879)</x:f>
        <x:v>0</x:v>
      </x:c>
      <x:c r="D50" s="88" t="n">
        <x:f>SUM('SCHNEEBALL'!H860:H879)</x:f>
        <x:v>0</x:v>
      </x:c>
      <x:c r="E50" s="88" t="n">
        <x:f>SUM('SCHNEEBALL'!G860:G879)</x:f>
        <x:v>0</x:v>
      </x:c>
      <x:c r="F50" s="88" t="n">
        <x:f>SUM('SCHNEEBALL'!E860:E879)</x:f>
        <x:v>0</x:v>
      </x:c>
      <x:c r="G50" s="88" t="n">
        <x:f>C50+D50+E50</x:f>
        <x:v>0</x:v>
      </x:c>
      <x:c r="H50" s="88" t="n">
        <x:f>SUM('SCHNEEBALL'!I860:I879)</x:f>
        <x:v>0</x:v>
      </x:c>
      <x:c r="I50" s="88" t="n">
        <x:f>SUM('ZINS-LAWINE'!F860:F879)</x:f>
        <x:v>0</x:v>
      </x:c>
      <x:c r="J50" s="88" t="n">
        <x:f>SUM('ZINS-LAWINE'!H860:H879)</x:f>
        <x:v>0</x:v>
      </x:c>
      <x:c r="K50" s="88" t="n">
        <x:f>SUM('ZINS-LAWINE'!G860:G879)</x:f>
        <x:v>0</x:v>
      </x:c>
      <x:c r="L50" s="88" t="n">
        <x:f>SUM('ZINS-LAWINE'!E860:E879)</x:f>
        <x:v>0</x:v>
      </x:c>
      <x:c r="M50" s="88" t="n">
        <x:f>I50+J50+K50</x:f>
        <x:v>0</x:v>
      </x:c>
      <x:c r="N50" s="88" t="n">
        <x:f>SUM('ZINS-LAWINE'!I860:I879)</x:f>
        <x:v>0</x:v>
      </x:c>
      <x:c r="O50" s="88" t="str">
        <x:f>IF(B50="","",MAX(0,C50-B50))</x:f>
      </x:c>
      <x:c r="P50" s="88" t="str">
        <x:f>IF(B50="","",MAX(0,I50-B50))</x:f>
      </x:c>
      <x:c r="Q50" s="88" t="n">
        <x:f>SUM('SCHNEEBALL'!K860:K879)</x:f>
        <x:v>0</x:v>
      </x:c>
      <x:c r="R50" t="str">
        <x:f>IF(B50="","BUDGET FEHLT",IF(OR(O50&gt;0,P50&gt;0),"NICHT FINANZIERBAR",IF(OR(Q50&gt;0,S50&gt;0),"SONDERBETRAG ÜBRIG","OK")))</x:f>
        <x:v>BUDGET FEHLT</x:v>
      </x:c>
      <x:c r="S50" s="88" t="n">
        <x:f>SUM('ZINS-LAWINE'!K860:K879)</x:f>
        <x:v>0</x:v>
      </x:c>
    </x:row>
    <x:row r="51" ht="21" customHeight="1">
      <x:c r="A51" s="90" t="n">
        <x:f>MONATSBUDGET!A51</x:f>
        <x:v>47543</x:v>
      </x:c>
      <x:c r="B51" s="88" t="str">
        <x:f>MONATSBUDGET!C51</x:f>
      </x:c>
      <x:c r="C51" s="88" t="n">
        <x:f>SUM('SCHNEEBALL'!F880:F899)</x:f>
        <x:v>0</x:v>
      </x:c>
      <x:c r="D51" s="88" t="n">
        <x:f>SUM('SCHNEEBALL'!H880:H899)</x:f>
        <x:v>0</x:v>
      </x:c>
      <x:c r="E51" s="88" t="n">
        <x:f>SUM('SCHNEEBALL'!G880:G899)</x:f>
        <x:v>0</x:v>
      </x:c>
      <x:c r="F51" s="88" t="n">
        <x:f>SUM('SCHNEEBALL'!E880:E899)</x:f>
        <x:v>0</x:v>
      </x:c>
      <x:c r="G51" s="88" t="n">
        <x:f>C51+D51+E51</x:f>
        <x:v>0</x:v>
      </x:c>
      <x:c r="H51" s="88" t="n">
        <x:f>SUM('SCHNEEBALL'!I880:I899)</x:f>
        <x:v>0</x:v>
      </x:c>
      <x:c r="I51" s="88" t="n">
        <x:f>SUM('ZINS-LAWINE'!F880:F899)</x:f>
        <x:v>0</x:v>
      </x:c>
      <x:c r="J51" s="88" t="n">
        <x:f>SUM('ZINS-LAWINE'!H880:H899)</x:f>
        <x:v>0</x:v>
      </x:c>
      <x:c r="K51" s="88" t="n">
        <x:f>SUM('ZINS-LAWINE'!G880:G899)</x:f>
        <x:v>0</x:v>
      </x:c>
      <x:c r="L51" s="88" t="n">
        <x:f>SUM('ZINS-LAWINE'!E880:E899)</x:f>
        <x:v>0</x:v>
      </x:c>
      <x:c r="M51" s="88" t="n">
        <x:f>I51+J51+K51</x:f>
        <x:v>0</x:v>
      </x:c>
      <x:c r="N51" s="88" t="n">
        <x:f>SUM('ZINS-LAWINE'!I880:I899)</x:f>
        <x:v>0</x:v>
      </x:c>
      <x:c r="O51" s="88" t="str">
        <x:f>IF(B51="","",MAX(0,C51-B51))</x:f>
      </x:c>
      <x:c r="P51" s="88" t="str">
        <x:f>IF(B51="","",MAX(0,I51-B51))</x:f>
      </x:c>
      <x:c r="Q51" s="88" t="n">
        <x:f>SUM('SCHNEEBALL'!K880:K899)</x:f>
        <x:v>0</x:v>
      </x:c>
      <x:c r="R51" t="str">
        <x:f>IF(B51="","BUDGET FEHLT",IF(OR(O51&gt;0,P51&gt;0),"NICHT FINANZIERBAR",IF(OR(Q51&gt;0,S51&gt;0),"SONDERBETRAG ÜBRIG","OK")))</x:f>
        <x:v>BUDGET FEHLT</x:v>
      </x:c>
      <x:c r="S51" s="88" t="n">
        <x:f>SUM('ZINS-LAWINE'!K880:K899)</x:f>
        <x:v>0</x:v>
      </x:c>
    </x:row>
    <x:row r="52" ht="21" customHeight="1">
      <x:c r="A52" s="90" t="n">
        <x:f>MONATSBUDGET!A52</x:f>
        <x:v>47574</x:v>
      </x:c>
      <x:c r="B52" s="88" t="str">
        <x:f>MONATSBUDGET!C52</x:f>
      </x:c>
      <x:c r="C52" s="88" t="n">
        <x:f>SUM('SCHNEEBALL'!F900:F919)</x:f>
        <x:v>0</x:v>
      </x:c>
      <x:c r="D52" s="88" t="n">
        <x:f>SUM('SCHNEEBALL'!H900:H919)</x:f>
        <x:v>0</x:v>
      </x:c>
      <x:c r="E52" s="88" t="n">
        <x:f>SUM('SCHNEEBALL'!G900:G919)</x:f>
        <x:v>0</x:v>
      </x:c>
      <x:c r="F52" s="88" t="n">
        <x:f>SUM('SCHNEEBALL'!E900:E919)</x:f>
        <x:v>0</x:v>
      </x:c>
      <x:c r="G52" s="88" t="n">
        <x:f>C52+D52+E52</x:f>
        <x:v>0</x:v>
      </x:c>
      <x:c r="H52" s="88" t="n">
        <x:f>SUM('SCHNEEBALL'!I900:I919)</x:f>
        <x:v>0</x:v>
      </x:c>
      <x:c r="I52" s="88" t="n">
        <x:f>SUM('ZINS-LAWINE'!F900:F919)</x:f>
        <x:v>0</x:v>
      </x:c>
      <x:c r="J52" s="88" t="n">
        <x:f>SUM('ZINS-LAWINE'!H900:H919)</x:f>
        <x:v>0</x:v>
      </x:c>
      <x:c r="K52" s="88" t="n">
        <x:f>SUM('ZINS-LAWINE'!G900:G919)</x:f>
        <x:v>0</x:v>
      </x:c>
      <x:c r="L52" s="88" t="n">
        <x:f>SUM('ZINS-LAWINE'!E900:E919)</x:f>
        <x:v>0</x:v>
      </x:c>
      <x:c r="M52" s="88" t="n">
        <x:f>I52+J52+K52</x:f>
        <x:v>0</x:v>
      </x:c>
      <x:c r="N52" s="88" t="n">
        <x:f>SUM('ZINS-LAWINE'!I900:I919)</x:f>
        <x:v>0</x:v>
      </x:c>
      <x:c r="O52" s="88" t="str">
        <x:f>IF(B52="","",MAX(0,C52-B52))</x:f>
      </x:c>
      <x:c r="P52" s="88" t="str">
        <x:f>IF(B52="","",MAX(0,I52-B52))</x:f>
      </x:c>
      <x:c r="Q52" s="88" t="n">
        <x:f>SUM('SCHNEEBALL'!K900:K919)</x:f>
        <x:v>0</x:v>
      </x:c>
      <x:c r="R52" t="str">
        <x:f>IF(B52="","BUDGET FEHLT",IF(OR(O52&gt;0,P52&gt;0),"NICHT FINANZIERBAR",IF(OR(Q52&gt;0,S52&gt;0),"SONDERBETRAG ÜBRIG","OK")))</x:f>
        <x:v>BUDGET FEHLT</x:v>
      </x:c>
      <x:c r="S52" s="88" t="n">
        <x:f>SUM('ZINS-LAWINE'!K900:K919)</x:f>
        <x:v>0</x:v>
      </x:c>
    </x:row>
    <x:row r="53" ht="21" customHeight="1">
      <x:c r="A53" s="90" t="n">
        <x:f>MONATSBUDGET!A53</x:f>
        <x:v>47604</x:v>
      </x:c>
      <x:c r="B53" s="88" t="str">
        <x:f>MONATSBUDGET!C53</x:f>
      </x:c>
      <x:c r="C53" s="88" t="n">
        <x:f>SUM('SCHNEEBALL'!F920:F939)</x:f>
        <x:v>0</x:v>
      </x:c>
      <x:c r="D53" s="88" t="n">
        <x:f>SUM('SCHNEEBALL'!H920:H939)</x:f>
        <x:v>0</x:v>
      </x:c>
      <x:c r="E53" s="88" t="n">
        <x:f>SUM('SCHNEEBALL'!G920:G939)</x:f>
        <x:v>0</x:v>
      </x:c>
      <x:c r="F53" s="88" t="n">
        <x:f>SUM('SCHNEEBALL'!E920:E939)</x:f>
        <x:v>0</x:v>
      </x:c>
      <x:c r="G53" s="88" t="n">
        <x:f>C53+D53+E53</x:f>
        <x:v>0</x:v>
      </x:c>
      <x:c r="H53" s="88" t="n">
        <x:f>SUM('SCHNEEBALL'!I920:I939)</x:f>
        <x:v>0</x:v>
      </x:c>
      <x:c r="I53" s="88" t="n">
        <x:f>SUM('ZINS-LAWINE'!F920:F939)</x:f>
        <x:v>0</x:v>
      </x:c>
      <x:c r="J53" s="88" t="n">
        <x:f>SUM('ZINS-LAWINE'!H920:H939)</x:f>
        <x:v>0</x:v>
      </x:c>
      <x:c r="K53" s="88" t="n">
        <x:f>SUM('ZINS-LAWINE'!G920:G939)</x:f>
        <x:v>0</x:v>
      </x:c>
      <x:c r="L53" s="88" t="n">
        <x:f>SUM('ZINS-LAWINE'!E920:E939)</x:f>
        <x:v>0</x:v>
      </x:c>
      <x:c r="M53" s="88" t="n">
        <x:f>I53+J53+K53</x:f>
        <x:v>0</x:v>
      </x:c>
      <x:c r="N53" s="88" t="n">
        <x:f>SUM('ZINS-LAWINE'!I920:I939)</x:f>
        <x:v>0</x:v>
      </x:c>
      <x:c r="O53" s="88" t="str">
        <x:f>IF(B53="","",MAX(0,C53-B53))</x:f>
      </x:c>
      <x:c r="P53" s="88" t="str">
        <x:f>IF(B53="","",MAX(0,I53-B53))</x:f>
      </x:c>
      <x:c r="Q53" s="88" t="n">
        <x:f>SUM('SCHNEEBALL'!K920:K939)</x:f>
        <x:v>0</x:v>
      </x:c>
      <x:c r="R53" t="str">
        <x:f>IF(B53="","BUDGET FEHLT",IF(OR(O53&gt;0,P53&gt;0),"NICHT FINANZIERBAR",IF(OR(Q53&gt;0,S53&gt;0),"SONDERBETRAG ÜBRIG","OK")))</x:f>
        <x:v>BUDGET FEHLT</x:v>
      </x:c>
      <x:c r="S53" s="88" t="n">
        <x:f>SUM('ZINS-LAWINE'!K920:K939)</x:f>
        <x:v>0</x:v>
      </x:c>
    </x:row>
    <x:row r="54" ht="21" customHeight="1">
      <x:c r="A54" s="90" t="n">
        <x:f>MONATSBUDGET!A54</x:f>
        <x:v>47635</x:v>
      </x:c>
      <x:c r="B54" s="88" t="str">
        <x:f>MONATSBUDGET!C54</x:f>
      </x:c>
      <x:c r="C54" s="88" t="n">
        <x:f>SUM('SCHNEEBALL'!F940:F959)</x:f>
        <x:v>0</x:v>
      </x:c>
      <x:c r="D54" s="88" t="n">
        <x:f>SUM('SCHNEEBALL'!H940:H959)</x:f>
        <x:v>0</x:v>
      </x:c>
      <x:c r="E54" s="88" t="n">
        <x:f>SUM('SCHNEEBALL'!G940:G959)</x:f>
        <x:v>0</x:v>
      </x:c>
      <x:c r="F54" s="88" t="n">
        <x:f>SUM('SCHNEEBALL'!E940:E959)</x:f>
        <x:v>0</x:v>
      </x:c>
      <x:c r="G54" s="88" t="n">
        <x:f>C54+D54+E54</x:f>
        <x:v>0</x:v>
      </x:c>
      <x:c r="H54" s="88" t="n">
        <x:f>SUM('SCHNEEBALL'!I940:I959)</x:f>
        <x:v>0</x:v>
      </x:c>
      <x:c r="I54" s="88" t="n">
        <x:f>SUM('ZINS-LAWINE'!F940:F959)</x:f>
        <x:v>0</x:v>
      </x:c>
      <x:c r="J54" s="88" t="n">
        <x:f>SUM('ZINS-LAWINE'!H940:H959)</x:f>
        <x:v>0</x:v>
      </x:c>
      <x:c r="K54" s="88" t="n">
        <x:f>SUM('ZINS-LAWINE'!G940:G959)</x:f>
        <x:v>0</x:v>
      </x:c>
      <x:c r="L54" s="88" t="n">
        <x:f>SUM('ZINS-LAWINE'!E940:E959)</x:f>
        <x:v>0</x:v>
      </x:c>
      <x:c r="M54" s="88" t="n">
        <x:f>I54+J54+K54</x:f>
        <x:v>0</x:v>
      </x:c>
      <x:c r="N54" s="88" t="n">
        <x:f>SUM('ZINS-LAWINE'!I940:I959)</x:f>
        <x:v>0</x:v>
      </x:c>
      <x:c r="O54" s="88" t="str">
        <x:f>IF(B54="","",MAX(0,C54-B54))</x:f>
      </x:c>
      <x:c r="P54" s="88" t="str">
        <x:f>IF(B54="","",MAX(0,I54-B54))</x:f>
      </x:c>
      <x:c r="Q54" s="88" t="n">
        <x:f>SUM('SCHNEEBALL'!K940:K959)</x:f>
        <x:v>0</x:v>
      </x:c>
      <x:c r="R54" t="str">
        <x:f>IF(B54="","BUDGET FEHLT",IF(OR(O54&gt;0,P54&gt;0),"NICHT FINANZIERBAR",IF(OR(Q54&gt;0,S54&gt;0),"SONDERBETRAG ÜBRIG","OK")))</x:f>
        <x:v>BUDGET FEHLT</x:v>
      </x:c>
      <x:c r="S54" s="88" t="n">
        <x:f>SUM('ZINS-LAWINE'!K940:K959)</x:f>
        <x:v>0</x:v>
      </x:c>
    </x:row>
    <x:row r="55" ht="21" customHeight="1">
      <x:c r="A55" s="90" t="n">
        <x:f>MONATSBUDGET!A55</x:f>
        <x:v>47665</x:v>
      </x:c>
      <x:c r="B55" s="88" t="str">
        <x:f>MONATSBUDGET!C55</x:f>
      </x:c>
      <x:c r="C55" s="88" t="n">
        <x:f>SUM('SCHNEEBALL'!F960:F979)</x:f>
        <x:v>0</x:v>
      </x:c>
      <x:c r="D55" s="88" t="n">
        <x:f>SUM('SCHNEEBALL'!H960:H979)</x:f>
        <x:v>0</x:v>
      </x:c>
      <x:c r="E55" s="88" t="n">
        <x:f>SUM('SCHNEEBALL'!G960:G979)</x:f>
        <x:v>0</x:v>
      </x:c>
      <x:c r="F55" s="88" t="n">
        <x:f>SUM('SCHNEEBALL'!E960:E979)</x:f>
        <x:v>0</x:v>
      </x:c>
      <x:c r="G55" s="88" t="n">
        <x:f>C55+D55+E55</x:f>
        <x:v>0</x:v>
      </x:c>
      <x:c r="H55" s="88" t="n">
        <x:f>SUM('SCHNEEBALL'!I960:I979)</x:f>
        <x:v>0</x:v>
      </x:c>
      <x:c r="I55" s="88" t="n">
        <x:f>SUM('ZINS-LAWINE'!F960:F979)</x:f>
        <x:v>0</x:v>
      </x:c>
      <x:c r="J55" s="88" t="n">
        <x:f>SUM('ZINS-LAWINE'!H960:H979)</x:f>
        <x:v>0</x:v>
      </x:c>
      <x:c r="K55" s="88" t="n">
        <x:f>SUM('ZINS-LAWINE'!G960:G979)</x:f>
        <x:v>0</x:v>
      </x:c>
      <x:c r="L55" s="88" t="n">
        <x:f>SUM('ZINS-LAWINE'!E960:E979)</x:f>
        <x:v>0</x:v>
      </x:c>
      <x:c r="M55" s="88" t="n">
        <x:f>I55+J55+K55</x:f>
        <x:v>0</x:v>
      </x:c>
      <x:c r="N55" s="88" t="n">
        <x:f>SUM('ZINS-LAWINE'!I960:I979)</x:f>
        <x:v>0</x:v>
      </x:c>
      <x:c r="O55" s="88" t="str">
        <x:f>IF(B55="","",MAX(0,C55-B55))</x:f>
      </x:c>
      <x:c r="P55" s="88" t="str">
        <x:f>IF(B55="","",MAX(0,I55-B55))</x:f>
      </x:c>
      <x:c r="Q55" s="88" t="n">
        <x:f>SUM('SCHNEEBALL'!K960:K979)</x:f>
        <x:v>0</x:v>
      </x:c>
      <x:c r="R55" t="str">
        <x:f>IF(B55="","BUDGET FEHLT",IF(OR(O55&gt;0,P55&gt;0),"NICHT FINANZIERBAR",IF(OR(Q55&gt;0,S55&gt;0),"SONDERBETRAG ÜBRIG","OK")))</x:f>
        <x:v>BUDGET FEHLT</x:v>
      </x:c>
      <x:c r="S55" s="88" t="n">
        <x:f>SUM('ZINS-LAWINE'!K960:K979)</x:f>
        <x:v>0</x:v>
      </x:c>
    </x:row>
    <x:row r="56" ht="21" customHeight="1">
      <x:c r="A56" s="90" t="n">
        <x:f>MONATSBUDGET!A56</x:f>
        <x:v>47696</x:v>
      </x:c>
      <x:c r="B56" s="88" t="str">
        <x:f>MONATSBUDGET!C56</x:f>
      </x:c>
      <x:c r="C56" s="88" t="n">
        <x:f>SUM('SCHNEEBALL'!F980:F999)</x:f>
        <x:v>0</x:v>
      </x:c>
      <x:c r="D56" s="88" t="n">
        <x:f>SUM('SCHNEEBALL'!H980:H999)</x:f>
        <x:v>0</x:v>
      </x:c>
      <x:c r="E56" s="88" t="n">
        <x:f>SUM('SCHNEEBALL'!G980:G999)</x:f>
        <x:v>0</x:v>
      </x:c>
      <x:c r="F56" s="88" t="n">
        <x:f>SUM('SCHNEEBALL'!E980:E999)</x:f>
        <x:v>0</x:v>
      </x:c>
      <x:c r="G56" s="88" t="n">
        <x:f>C56+D56+E56</x:f>
        <x:v>0</x:v>
      </x:c>
      <x:c r="H56" s="88" t="n">
        <x:f>SUM('SCHNEEBALL'!I980:I999)</x:f>
        <x:v>0</x:v>
      </x:c>
      <x:c r="I56" s="88" t="n">
        <x:f>SUM('ZINS-LAWINE'!F980:F999)</x:f>
        <x:v>0</x:v>
      </x:c>
      <x:c r="J56" s="88" t="n">
        <x:f>SUM('ZINS-LAWINE'!H980:H999)</x:f>
        <x:v>0</x:v>
      </x:c>
      <x:c r="K56" s="88" t="n">
        <x:f>SUM('ZINS-LAWINE'!G980:G999)</x:f>
        <x:v>0</x:v>
      </x:c>
      <x:c r="L56" s="88" t="n">
        <x:f>SUM('ZINS-LAWINE'!E980:E999)</x:f>
        <x:v>0</x:v>
      </x:c>
      <x:c r="M56" s="88" t="n">
        <x:f>I56+J56+K56</x:f>
        <x:v>0</x:v>
      </x:c>
      <x:c r="N56" s="88" t="n">
        <x:f>SUM('ZINS-LAWINE'!I980:I999)</x:f>
        <x:v>0</x:v>
      </x:c>
      <x:c r="O56" s="88" t="str">
        <x:f>IF(B56="","",MAX(0,C56-B56))</x:f>
      </x:c>
      <x:c r="P56" s="88" t="str">
        <x:f>IF(B56="","",MAX(0,I56-B56))</x:f>
      </x:c>
      <x:c r="Q56" s="88" t="n">
        <x:f>SUM('SCHNEEBALL'!K980:K999)</x:f>
        <x:v>0</x:v>
      </x:c>
      <x:c r="R56" t="str">
        <x:f>IF(B56="","BUDGET FEHLT",IF(OR(O56&gt;0,P56&gt;0),"NICHT FINANZIERBAR",IF(OR(Q56&gt;0,S56&gt;0),"SONDERBETRAG ÜBRIG","OK")))</x:f>
        <x:v>BUDGET FEHLT</x:v>
      </x:c>
      <x:c r="S56" s="88" t="n">
        <x:f>SUM('ZINS-LAWINE'!K980:K999)</x:f>
        <x:v>0</x:v>
      </x:c>
    </x:row>
    <x:row r="57" ht="21" customHeight="1">
      <x:c r="A57" s="90" t="n">
        <x:f>MONATSBUDGET!A57</x:f>
        <x:v>47727</x:v>
      </x:c>
      <x:c r="B57" s="88" t="str">
        <x:f>MONATSBUDGET!C57</x:f>
      </x:c>
      <x:c r="C57" s="88" t="n">
        <x:f>SUM('SCHNEEBALL'!F1000:F1019)</x:f>
        <x:v>0</x:v>
      </x:c>
      <x:c r="D57" s="88" t="n">
        <x:f>SUM('SCHNEEBALL'!H1000:H1019)</x:f>
        <x:v>0</x:v>
      </x:c>
      <x:c r="E57" s="88" t="n">
        <x:f>SUM('SCHNEEBALL'!G1000:G1019)</x:f>
        <x:v>0</x:v>
      </x:c>
      <x:c r="F57" s="88" t="n">
        <x:f>SUM('SCHNEEBALL'!E1000:E1019)</x:f>
        <x:v>0</x:v>
      </x:c>
      <x:c r="G57" s="88" t="n">
        <x:f>C57+D57+E57</x:f>
        <x:v>0</x:v>
      </x:c>
      <x:c r="H57" s="88" t="n">
        <x:f>SUM('SCHNEEBALL'!I1000:I1019)</x:f>
        <x:v>0</x:v>
      </x:c>
      <x:c r="I57" s="88" t="n">
        <x:f>SUM('ZINS-LAWINE'!F1000:F1019)</x:f>
        <x:v>0</x:v>
      </x:c>
      <x:c r="J57" s="88" t="n">
        <x:f>SUM('ZINS-LAWINE'!H1000:H1019)</x:f>
        <x:v>0</x:v>
      </x:c>
      <x:c r="K57" s="88" t="n">
        <x:f>SUM('ZINS-LAWINE'!G1000:G1019)</x:f>
        <x:v>0</x:v>
      </x:c>
      <x:c r="L57" s="88" t="n">
        <x:f>SUM('ZINS-LAWINE'!E1000:E1019)</x:f>
        <x:v>0</x:v>
      </x:c>
      <x:c r="M57" s="88" t="n">
        <x:f>I57+J57+K57</x:f>
        <x:v>0</x:v>
      </x:c>
      <x:c r="N57" s="88" t="n">
        <x:f>SUM('ZINS-LAWINE'!I1000:I1019)</x:f>
        <x:v>0</x:v>
      </x:c>
      <x:c r="O57" s="88" t="str">
        <x:f>IF(B57="","",MAX(0,C57-B57))</x:f>
      </x:c>
      <x:c r="P57" s="88" t="str">
        <x:f>IF(B57="","",MAX(0,I57-B57))</x:f>
      </x:c>
      <x:c r="Q57" s="88" t="n">
        <x:f>SUM('SCHNEEBALL'!K1000:K1019)</x:f>
        <x:v>0</x:v>
      </x:c>
      <x:c r="R57" t="str">
        <x:f>IF(B57="","BUDGET FEHLT",IF(OR(O57&gt;0,P57&gt;0),"NICHT FINANZIERBAR",IF(OR(Q57&gt;0,S57&gt;0),"SONDERBETRAG ÜBRIG","OK")))</x:f>
        <x:v>BUDGET FEHLT</x:v>
      </x:c>
      <x:c r="S57" s="88" t="n">
        <x:f>SUM('ZINS-LAWINE'!K1000:K1019)</x:f>
        <x:v>0</x:v>
      </x:c>
    </x:row>
    <x:row r="58" ht="21" customHeight="1">
      <x:c r="A58" s="90" t="n">
        <x:f>MONATSBUDGET!A58</x:f>
        <x:v>47757</x:v>
      </x:c>
      <x:c r="B58" s="88" t="str">
        <x:f>MONATSBUDGET!C58</x:f>
      </x:c>
      <x:c r="C58" s="88" t="n">
        <x:f>SUM('SCHNEEBALL'!F1020:F1039)</x:f>
        <x:v>0</x:v>
      </x:c>
      <x:c r="D58" s="88" t="n">
        <x:f>SUM('SCHNEEBALL'!H1020:H1039)</x:f>
        <x:v>0</x:v>
      </x:c>
      <x:c r="E58" s="88" t="n">
        <x:f>SUM('SCHNEEBALL'!G1020:G1039)</x:f>
        <x:v>0</x:v>
      </x:c>
      <x:c r="F58" s="88" t="n">
        <x:f>SUM('SCHNEEBALL'!E1020:E1039)</x:f>
        <x:v>0</x:v>
      </x:c>
      <x:c r="G58" s="88" t="n">
        <x:f>C58+D58+E58</x:f>
        <x:v>0</x:v>
      </x:c>
      <x:c r="H58" s="88" t="n">
        <x:f>SUM('SCHNEEBALL'!I1020:I1039)</x:f>
        <x:v>0</x:v>
      </x:c>
      <x:c r="I58" s="88" t="n">
        <x:f>SUM('ZINS-LAWINE'!F1020:F1039)</x:f>
        <x:v>0</x:v>
      </x:c>
      <x:c r="J58" s="88" t="n">
        <x:f>SUM('ZINS-LAWINE'!H1020:H1039)</x:f>
        <x:v>0</x:v>
      </x:c>
      <x:c r="K58" s="88" t="n">
        <x:f>SUM('ZINS-LAWINE'!G1020:G1039)</x:f>
        <x:v>0</x:v>
      </x:c>
      <x:c r="L58" s="88" t="n">
        <x:f>SUM('ZINS-LAWINE'!E1020:E1039)</x:f>
        <x:v>0</x:v>
      </x:c>
      <x:c r="M58" s="88" t="n">
        <x:f>I58+J58+K58</x:f>
        <x:v>0</x:v>
      </x:c>
      <x:c r="N58" s="88" t="n">
        <x:f>SUM('ZINS-LAWINE'!I1020:I1039)</x:f>
        <x:v>0</x:v>
      </x:c>
      <x:c r="O58" s="88" t="str">
        <x:f>IF(B58="","",MAX(0,C58-B58))</x:f>
      </x:c>
      <x:c r="P58" s="88" t="str">
        <x:f>IF(B58="","",MAX(0,I58-B58))</x:f>
      </x:c>
      <x:c r="Q58" s="88" t="n">
        <x:f>SUM('SCHNEEBALL'!K1020:K1039)</x:f>
        <x:v>0</x:v>
      </x:c>
      <x:c r="R58" t="str">
        <x:f>IF(B58="","BUDGET FEHLT",IF(OR(O58&gt;0,P58&gt;0),"NICHT FINANZIERBAR",IF(OR(Q58&gt;0,S58&gt;0),"SONDERBETRAG ÜBRIG","OK")))</x:f>
        <x:v>BUDGET FEHLT</x:v>
      </x:c>
      <x:c r="S58" s="88" t="n">
        <x:f>SUM('ZINS-LAWINE'!K1020:K1039)</x:f>
        <x:v>0</x:v>
      </x:c>
    </x:row>
    <x:row r="59" ht="21" customHeight="1">
      <x:c r="A59" s="90" t="n">
        <x:f>MONATSBUDGET!A59</x:f>
        <x:v>47788</x:v>
      </x:c>
      <x:c r="B59" s="88" t="str">
        <x:f>MONATSBUDGET!C59</x:f>
      </x:c>
      <x:c r="C59" s="88" t="n">
        <x:f>SUM('SCHNEEBALL'!F1040:F1059)</x:f>
        <x:v>0</x:v>
      </x:c>
      <x:c r="D59" s="88" t="n">
        <x:f>SUM('SCHNEEBALL'!H1040:H1059)</x:f>
        <x:v>0</x:v>
      </x:c>
      <x:c r="E59" s="88" t="n">
        <x:f>SUM('SCHNEEBALL'!G1040:G1059)</x:f>
        <x:v>0</x:v>
      </x:c>
      <x:c r="F59" s="88" t="n">
        <x:f>SUM('SCHNEEBALL'!E1040:E1059)</x:f>
        <x:v>0</x:v>
      </x:c>
      <x:c r="G59" s="88" t="n">
        <x:f>C59+D59+E59</x:f>
        <x:v>0</x:v>
      </x:c>
      <x:c r="H59" s="88" t="n">
        <x:f>SUM('SCHNEEBALL'!I1040:I1059)</x:f>
        <x:v>0</x:v>
      </x:c>
      <x:c r="I59" s="88" t="n">
        <x:f>SUM('ZINS-LAWINE'!F1040:F1059)</x:f>
        <x:v>0</x:v>
      </x:c>
      <x:c r="J59" s="88" t="n">
        <x:f>SUM('ZINS-LAWINE'!H1040:H1059)</x:f>
        <x:v>0</x:v>
      </x:c>
      <x:c r="K59" s="88" t="n">
        <x:f>SUM('ZINS-LAWINE'!G1040:G1059)</x:f>
        <x:v>0</x:v>
      </x:c>
      <x:c r="L59" s="88" t="n">
        <x:f>SUM('ZINS-LAWINE'!E1040:E1059)</x:f>
        <x:v>0</x:v>
      </x:c>
      <x:c r="M59" s="88" t="n">
        <x:f>I59+J59+K59</x:f>
        <x:v>0</x:v>
      </x:c>
      <x:c r="N59" s="88" t="n">
        <x:f>SUM('ZINS-LAWINE'!I1040:I1059)</x:f>
        <x:v>0</x:v>
      </x:c>
      <x:c r="O59" s="88" t="str">
        <x:f>IF(B59="","",MAX(0,C59-B59))</x:f>
      </x:c>
      <x:c r="P59" s="88" t="str">
        <x:f>IF(B59="","",MAX(0,I59-B59))</x:f>
      </x:c>
      <x:c r="Q59" s="88" t="n">
        <x:f>SUM('SCHNEEBALL'!K1040:K1059)</x:f>
        <x:v>0</x:v>
      </x:c>
      <x:c r="R59" t="str">
        <x:f>IF(B59="","BUDGET FEHLT",IF(OR(O59&gt;0,P59&gt;0),"NICHT FINANZIERBAR",IF(OR(Q59&gt;0,S59&gt;0),"SONDERBETRAG ÜBRIG","OK")))</x:f>
        <x:v>BUDGET FEHLT</x:v>
      </x:c>
      <x:c r="S59" s="88" t="n">
        <x:f>SUM('ZINS-LAWINE'!K1040:K1059)</x:f>
        <x:v>0</x:v>
      </x:c>
    </x:row>
    <x:row r="60" ht="21" customHeight="1">
      <x:c r="A60" s="90" t="n">
        <x:f>MONATSBUDGET!A60</x:f>
        <x:v>47818</x:v>
      </x:c>
      <x:c r="B60" s="88" t="str">
        <x:f>MONATSBUDGET!C60</x:f>
      </x:c>
      <x:c r="C60" s="88" t="n">
        <x:f>SUM('SCHNEEBALL'!F1060:F1079)</x:f>
        <x:v>0</x:v>
      </x:c>
      <x:c r="D60" s="88" t="n">
        <x:f>SUM('SCHNEEBALL'!H1060:H1079)</x:f>
        <x:v>0</x:v>
      </x:c>
      <x:c r="E60" s="88" t="n">
        <x:f>SUM('SCHNEEBALL'!G1060:G1079)</x:f>
        <x:v>0</x:v>
      </x:c>
      <x:c r="F60" s="88" t="n">
        <x:f>SUM('SCHNEEBALL'!E1060:E1079)</x:f>
        <x:v>0</x:v>
      </x:c>
      <x:c r="G60" s="88" t="n">
        <x:f>C60+D60+E60</x:f>
        <x:v>0</x:v>
      </x:c>
      <x:c r="H60" s="88" t="n">
        <x:f>SUM('SCHNEEBALL'!I1060:I1079)</x:f>
        <x:v>0</x:v>
      </x:c>
      <x:c r="I60" s="88" t="n">
        <x:f>SUM('ZINS-LAWINE'!F1060:F1079)</x:f>
        <x:v>0</x:v>
      </x:c>
      <x:c r="J60" s="88" t="n">
        <x:f>SUM('ZINS-LAWINE'!H1060:H1079)</x:f>
        <x:v>0</x:v>
      </x:c>
      <x:c r="K60" s="88" t="n">
        <x:f>SUM('ZINS-LAWINE'!G1060:G1079)</x:f>
        <x:v>0</x:v>
      </x:c>
      <x:c r="L60" s="88" t="n">
        <x:f>SUM('ZINS-LAWINE'!E1060:E1079)</x:f>
        <x:v>0</x:v>
      </x:c>
      <x:c r="M60" s="88" t="n">
        <x:f>I60+J60+K60</x:f>
        <x:v>0</x:v>
      </x:c>
      <x:c r="N60" s="88" t="n">
        <x:f>SUM('ZINS-LAWINE'!I1060:I1079)</x:f>
        <x:v>0</x:v>
      </x:c>
      <x:c r="O60" s="88" t="str">
        <x:f>IF(B60="","",MAX(0,C60-B60))</x:f>
      </x:c>
      <x:c r="P60" s="88" t="str">
        <x:f>IF(B60="","",MAX(0,I60-B60))</x:f>
      </x:c>
      <x:c r="Q60" s="88" t="n">
        <x:f>SUM('SCHNEEBALL'!K1060:K1079)</x:f>
        <x:v>0</x:v>
      </x:c>
      <x:c r="R60" t="str">
        <x:f>IF(B60="","BUDGET FEHLT",IF(OR(O60&gt;0,P60&gt;0),"NICHT FINANZIERBAR",IF(OR(Q60&gt;0,S60&gt;0),"SONDERBETRAG ÜBRIG","OK")))</x:f>
        <x:v>BUDGET FEHLT</x:v>
      </x:c>
      <x:c r="S60" s="88" t="n">
        <x:f>SUM('ZINS-LAWINE'!K1060:K1079)</x:f>
        <x:v>0</x:v>
      </x:c>
    </x:row>
    <x:row r="61" ht="21" customHeight="1">
      <x:c r="A61" s="90" t="n">
        <x:f>MONATSBUDGET!A61</x:f>
        <x:v>47849</x:v>
      </x:c>
      <x:c r="B61" s="88" t="str">
        <x:f>MONATSBUDGET!C61</x:f>
      </x:c>
      <x:c r="C61" s="88" t="n">
        <x:f>SUM('SCHNEEBALL'!F1080:F1099)</x:f>
        <x:v>0</x:v>
      </x:c>
      <x:c r="D61" s="88" t="n">
        <x:f>SUM('SCHNEEBALL'!H1080:H1099)</x:f>
        <x:v>0</x:v>
      </x:c>
      <x:c r="E61" s="88" t="n">
        <x:f>SUM('SCHNEEBALL'!G1080:G1099)</x:f>
        <x:v>0</x:v>
      </x:c>
      <x:c r="F61" s="88" t="n">
        <x:f>SUM('SCHNEEBALL'!E1080:E1099)</x:f>
        <x:v>0</x:v>
      </x:c>
      <x:c r="G61" s="88" t="n">
        <x:f>C61+D61+E61</x:f>
        <x:v>0</x:v>
      </x:c>
      <x:c r="H61" s="88" t="n">
        <x:f>SUM('SCHNEEBALL'!I1080:I1099)</x:f>
        <x:v>0</x:v>
      </x:c>
      <x:c r="I61" s="88" t="n">
        <x:f>SUM('ZINS-LAWINE'!F1080:F1099)</x:f>
        <x:v>0</x:v>
      </x:c>
      <x:c r="J61" s="88" t="n">
        <x:f>SUM('ZINS-LAWINE'!H1080:H1099)</x:f>
        <x:v>0</x:v>
      </x:c>
      <x:c r="K61" s="88" t="n">
        <x:f>SUM('ZINS-LAWINE'!G1080:G1099)</x:f>
        <x:v>0</x:v>
      </x:c>
      <x:c r="L61" s="88" t="n">
        <x:f>SUM('ZINS-LAWINE'!E1080:E1099)</x:f>
        <x:v>0</x:v>
      </x:c>
      <x:c r="M61" s="88" t="n">
        <x:f>I61+J61+K61</x:f>
        <x:v>0</x:v>
      </x:c>
      <x:c r="N61" s="88" t="n">
        <x:f>SUM('ZINS-LAWINE'!I1080:I1099)</x:f>
        <x:v>0</x:v>
      </x:c>
      <x:c r="O61" s="88" t="str">
        <x:f>IF(B61="","",MAX(0,C61-B61))</x:f>
      </x:c>
      <x:c r="P61" s="88" t="str">
        <x:f>IF(B61="","",MAX(0,I61-B61))</x:f>
      </x:c>
      <x:c r="Q61" s="88" t="n">
        <x:f>SUM('SCHNEEBALL'!K1080:K1099)</x:f>
        <x:v>0</x:v>
      </x:c>
      <x:c r="R61" t="str">
        <x:f>IF(B61="","BUDGET FEHLT",IF(OR(O61&gt;0,P61&gt;0),"NICHT FINANZIERBAR",IF(OR(Q61&gt;0,S61&gt;0),"SONDERBETRAG ÜBRIG","OK")))</x:f>
        <x:v>BUDGET FEHLT</x:v>
      </x:c>
      <x:c r="S61" s="88" t="n">
        <x:f>SUM('ZINS-LAWINE'!K1080:K1099)</x:f>
        <x:v>0</x:v>
      </x:c>
    </x:row>
    <x:row r="62" ht="21" customHeight="1">
      <x:c r="A62" s="90" t="n">
        <x:f>MONATSBUDGET!A62</x:f>
        <x:v>47880</x:v>
      </x:c>
      <x:c r="B62" s="88" t="str">
        <x:f>MONATSBUDGET!C62</x:f>
      </x:c>
      <x:c r="C62" s="88" t="n">
        <x:f>SUM('SCHNEEBALL'!F1100:F1119)</x:f>
        <x:v>0</x:v>
      </x:c>
      <x:c r="D62" s="88" t="n">
        <x:f>SUM('SCHNEEBALL'!H1100:H1119)</x:f>
        <x:v>0</x:v>
      </x:c>
      <x:c r="E62" s="88" t="n">
        <x:f>SUM('SCHNEEBALL'!G1100:G1119)</x:f>
        <x:v>0</x:v>
      </x:c>
      <x:c r="F62" s="88" t="n">
        <x:f>SUM('SCHNEEBALL'!E1100:E1119)</x:f>
        <x:v>0</x:v>
      </x:c>
      <x:c r="G62" s="88" t="n">
        <x:f>C62+D62+E62</x:f>
        <x:v>0</x:v>
      </x:c>
      <x:c r="H62" s="88" t="n">
        <x:f>SUM('SCHNEEBALL'!I1100:I1119)</x:f>
        <x:v>0</x:v>
      </x:c>
      <x:c r="I62" s="88" t="n">
        <x:f>SUM('ZINS-LAWINE'!F1100:F1119)</x:f>
        <x:v>0</x:v>
      </x:c>
      <x:c r="J62" s="88" t="n">
        <x:f>SUM('ZINS-LAWINE'!H1100:H1119)</x:f>
        <x:v>0</x:v>
      </x:c>
      <x:c r="K62" s="88" t="n">
        <x:f>SUM('ZINS-LAWINE'!G1100:G1119)</x:f>
        <x:v>0</x:v>
      </x:c>
      <x:c r="L62" s="88" t="n">
        <x:f>SUM('ZINS-LAWINE'!E1100:E1119)</x:f>
        <x:v>0</x:v>
      </x:c>
      <x:c r="M62" s="88" t="n">
        <x:f>I62+J62+K62</x:f>
        <x:v>0</x:v>
      </x:c>
      <x:c r="N62" s="88" t="n">
        <x:f>SUM('ZINS-LAWINE'!I1100:I1119)</x:f>
        <x:v>0</x:v>
      </x:c>
      <x:c r="O62" s="88" t="str">
        <x:f>IF(B62="","",MAX(0,C62-B62))</x:f>
      </x:c>
      <x:c r="P62" s="88" t="str">
        <x:f>IF(B62="","",MAX(0,I62-B62))</x:f>
      </x:c>
      <x:c r="Q62" s="88" t="n">
        <x:f>SUM('SCHNEEBALL'!K1100:K1119)</x:f>
        <x:v>0</x:v>
      </x:c>
      <x:c r="R62" t="str">
        <x:f>IF(B62="","BUDGET FEHLT",IF(OR(O62&gt;0,P62&gt;0),"NICHT FINANZIERBAR",IF(OR(Q62&gt;0,S62&gt;0),"SONDERBETRAG ÜBRIG","OK")))</x:f>
        <x:v>BUDGET FEHLT</x:v>
      </x:c>
      <x:c r="S62" s="88" t="n">
        <x:f>SUM('ZINS-LAWINE'!K1100:K1119)</x:f>
        <x:v>0</x:v>
      </x:c>
    </x:row>
    <x:row r="63" ht="21" customHeight="1">
      <x:c r="A63" s="90" t="n">
        <x:f>MONATSBUDGET!A63</x:f>
        <x:v>47908</x:v>
      </x:c>
      <x:c r="B63" s="88" t="str">
        <x:f>MONATSBUDGET!C63</x:f>
      </x:c>
      <x:c r="C63" s="88" t="n">
        <x:f>SUM('SCHNEEBALL'!F1120:F1139)</x:f>
        <x:v>0</x:v>
      </x:c>
      <x:c r="D63" s="88" t="n">
        <x:f>SUM('SCHNEEBALL'!H1120:H1139)</x:f>
        <x:v>0</x:v>
      </x:c>
      <x:c r="E63" s="88" t="n">
        <x:f>SUM('SCHNEEBALL'!G1120:G1139)</x:f>
        <x:v>0</x:v>
      </x:c>
      <x:c r="F63" s="88" t="n">
        <x:f>SUM('SCHNEEBALL'!E1120:E1139)</x:f>
        <x:v>0</x:v>
      </x:c>
      <x:c r="G63" s="88" t="n">
        <x:f>C63+D63+E63</x:f>
        <x:v>0</x:v>
      </x:c>
      <x:c r="H63" s="88" t="n">
        <x:f>SUM('SCHNEEBALL'!I1120:I1139)</x:f>
        <x:v>0</x:v>
      </x:c>
      <x:c r="I63" s="88" t="n">
        <x:f>SUM('ZINS-LAWINE'!F1120:F1139)</x:f>
        <x:v>0</x:v>
      </x:c>
      <x:c r="J63" s="88" t="n">
        <x:f>SUM('ZINS-LAWINE'!H1120:H1139)</x:f>
        <x:v>0</x:v>
      </x:c>
      <x:c r="K63" s="88" t="n">
        <x:f>SUM('ZINS-LAWINE'!G1120:G1139)</x:f>
        <x:v>0</x:v>
      </x:c>
      <x:c r="L63" s="88" t="n">
        <x:f>SUM('ZINS-LAWINE'!E1120:E1139)</x:f>
        <x:v>0</x:v>
      </x:c>
      <x:c r="M63" s="88" t="n">
        <x:f>I63+J63+K63</x:f>
        <x:v>0</x:v>
      </x:c>
      <x:c r="N63" s="88" t="n">
        <x:f>SUM('ZINS-LAWINE'!I1120:I1139)</x:f>
        <x:v>0</x:v>
      </x:c>
      <x:c r="O63" s="88" t="str">
        <x:f>IF(B63="","",MAX(0,C63-B63))</x:f>
      </x:c>
      <x:c r="P63" s="88" t="str">
        <x:f>IF(B63="","",MAX(0,I63-B63))</x:f>
      </x:c>
      <x:c r="Q63" s="88" t="n">
        <x:f>SUM('SCHNEEBALL'!K1120:K1139)</x:f>
        <x:v>0</x:v>
      </x:c>
      <x:c r="R63" t="str">
        <x:f>IF(B63="","BUDGET FEHLT",IF(OR(O63&gt;0,P63&gt;0),"NICHT FINANZIERBAR",IF(OR(Q63&gt;0,S63&gt;0),"SONDERBETRAG ÜBRIG","OK")))</x:f>
        <x:v>BUDGET FEHLT</x:v>
      </x:c>
      <x:c r="S63" s="88" t="n">
        <x:f>SUM('ZINS-LAWINE'!K1120:K1139)</x:f>
        <x:v>0</x:v>
      </x:c>
    </x:row>
    <x:row r="64" ht="21" customHeight="1">
      <x:c r="A64" s="90" t="n">
        <x:f>MONATSBUDGET!A64</x:f>
        <x:v>47939</x:v>
      </x:c>
      <x:c r="B64" s="88" t="str">
        <x:f>MONATSBUDGET!C64</x:f>
      </x:c>
      <x:c r="C64" s="88" t="n">
        <x:f>SUM('SCHNEEBALL'!F1140:F1159)</x:f>
        <x:v>0</x:v>
      </x:c>
      <x:c r="D64" s="88" t="n">
        <x:f>SUM('SCHNEEBALL'!H1140:H1159)</x:f>
        <x:v>0</x:v>
      </x:c>
      <x:c r="E64" s="88" t="n">
        <x:f>SUM('SCHNEEBALL'!G1140:G1159)</x:f>
        <x:v>0</x:v>
      </x:c>
      <x:c r="F64" s="88" t="n">
        <x:f>SUM('SCHNEEBALL'!E1140:E1159)</x:f>
        <x:v>0</x:v>
      </x:c>
      <x:c r="G64" s="88" t="n">
        <x:f>C64+D64+E64</x:f>
        <x:v>0</x:v>
      </x:c>
      <x:c r="H64" s="88" t="n">
        <x:f>SUM('SCHNEEBALL'!I1140:I1159)</x:f>
        <x:v>0</x:v>
      </x:c>
      <x:c r="I64" s="88" t="n">
        <x:f>SUM('ZINS-LAWINE'!F1140:F1159)</x:f>
        <x:v>0</x:v>
      </x:c>
      <x:c r="J64" s="88" t="n">
        <x:f>SUM('ZINS-LAWINE'!H1140:H1159)</x:f>
        <x:v>0</x:v>
      </x:c>
      <x:c r="K64" s="88" t="n">
        <x:f>SUM('ZINS-LAWINE'!G1140:G1159)</x:f>
        <x:v>0</x:v>
      </x:c>
      <x:c r="L64" s="88" t="n">
        <x:f>SUM('ZINS-LAWINE'!E1140:E1159)</x:f>
        <x:v>0</x:v>
      </x:c>
      <x:c r="M64" s="88" t="n">
        <x:f>I64+J64+K64</x:f>
        <x:v>0</x:v>
      </x:c>
      <x:c r="N64" s="88" t="n">
        <x:f>SUM('ZINS-LAWINE'!I1140:I1159)</x:f>
        <x:v>0</x:v>
      </x:c>
      <x:c r="O64" s="88" t="str">
        <x:f>IF(B64="","",MAX(0,C64-B64))</x:f>
      </x:c>
      <x:c r="P64" s="88" t="str">
        <x:f>IF(B64="","",MAX(0,I64-B64))</x:f>
      </x:c>
      <x:c r="Q64" s="88" t="n">
        <x:f>SUM('SCHNEEBALL'!K1140:K1159)</x:f>
        <x:v>0</x:v>
      </x:c>
      <x:c r="R64" t="str">
        <x:f>IF(B64="","BUDGET FEHLT",IF(OR(O64&gt;0,P64&gt;0),"NICHT FINANZIERBAR",IF(OR(Q64&gt;0,S64&gt;0),"SONDERBETRAG ÜBRIG","OK")))</x:f>
        <x:v>BUDGET FEHLT</x:v>
      </x:c>
      <x:c r="S64" s="88" t="n">
        <x:f>SUM('ZINS-LAWINE'!K1140:K1159)</x:f>
        <x:v>0</x:v>
      </x:c>
    </x:row>
    <x:row r="65" ht="21" customHeight="1">
      <x:c r="A65" s="90" t="n">
        <x:f>MONATSBUDGET!A65</x:f>
        <x:v>47969</x:v>
      </x:c>
      <x:c r="B65" s="88" t="str">
        <x:f>MONATSBUDGET!C65</x:f>
      </x:c>
      <x:c r="C65" s="88" t="n">
        <x:f>SUM('SCHNEEBALL'!F1160:F1179)</x:f>
        <x:v>0</x:v>
      </x:c>
      <x:c r="D65" s="88" t="n">
        <x:f>SUM('SCHNEEBALL'!H1160:H1179)</x:f>
        <x:v>0</x:v>
      </x:c>
      <x:c r="E65" s="88" t="n">
        <x:f>SUM('SCHNEEBALL'!G1160:G1179)</x:f>
        <x:v>0</x:v>
      </x:c>
      <x:c r="F65" s="88" t="n">
        <x:f>SUM('SCHNEEBALL'!E1160:E1179)</x:f>
        <x:v>0</x:v>
      </x:c>
      <x:c r="G65" s="88" t="n">
        <x:f>C65+D65+E65</x:f>
        <x:v>0</x:v>
      </x:c>
      <x:c r="H65" s="88" t="n">
        <x:f>SUM('SCHNEEBALL'!I1160:I1179)</x:f>
        <x:v>0</x:v>
      </x:c>
      <x:c r="I65" s="88" t="n">
        <x:f>SUM('ZINS-LAWINE'!F1160:F1179)</x:f>
        <x:v>0</x:v>
      </x:c>
      <x:c r="J65" s="88" t="n">
        <x:f>SUM('ZINS-LAWINE'!H1160:H1179)</x:f>
        <x:v>0</x:v>
      </x:c>
      <x:c r="K65" s="88" t="n">
        <x:f>SUM('ZINS-LAWINE'!G1160:G1179)</x:f>
        <x:v>0</x:v>
      </x:c>
      <x:c r="L65" s="88" t="n">
        <x:f>SUM('ZINS-LAWINE'!E1160:E1179)</x:f>
        <x:v>0</x:v>
      </x:c>
      <x:c r="M65" s="88" t="n">
        <x:f>I65+J65+K65</x:f>
        <x:v>0</x:v>
      </x:c>
      <x:c r="N65" s="88" t="n">
        <x:f>SUM('ZINS-LAWINE'!I1160:I1179)</x:f>
        <x:v>0</x:v>
      </x:c>
      <x:c r="O65" s="88" t="str">
        <x:f>IF(B65="","",MAX(0,C65-B65))</x:f>
      </x:c>
      <x:c r="P65" s="88" t="str">
        <x:f>IF(B65="","",MAX(0,I65-B65))</x:f>
      </x:c>
      <x:c r="Q65" s="88" t="n">
        <x:f>SUM('SCHNEEBALL'!K1160:K1179)</x:f>
        <x:v>0</x:v>
      </x:c>
      <x:c r="R65" t="str">
        <x:f>IF(B65="","BUDGET FEHLT",IF(OR(O65&gt;0,P65&gt;0),"NICHT FINANZIERBAR",IF(OR(Q65&gt;0,S65&gt;0),"SONDERBETRAG ÜBRIG","OK")))</x:f>
        <x:v>BUDGET FEHLT</x:v>
      </x:c>
      <x:c r="S65" s="88" t="n">
        <x:f>SUM('ZINS-LAWINE'!K1160:K1179)</x:f>
        <x:v>0</x:v>
      </x:c>
    </x:row>
    <x:row r="66" ht="21" customHeight="1">
      <x:c r="A66" s="90" t="n">
        <x:f>MONATSBUDGET!A66</x:f>
        <x:v>48000</x:v>
      </x:c>
      <x:c r="B66" s="88" t="str">
        <x:f>MONATSBUDGET!C66</x:f>
      </x:c>
      <x:c r="C66" s="88" t="n">
        <x:f>SUM('SCHNEEBALL'!F1180:F1199)</x:f>
        <x:v>0</x:v>
      </x:c>
      <x:c r="D66" s="88" t="n">
        <x:f>SUM('SCHNEEBALL'!H1180:H1199)</x:f>
        <x:v>0</x:v>
      </x:c>
      <x:c r="E66" s="88" t="n">
        <x:f>SUM('SCHNEEBALL'!G1180:G1199)</x:f>
        <x:v>0</x:v>
      </x:c>
      <x:c r="F66" s="88" t="n">
        <x:f>SUM('SCHNEEBALL'!E1180:E1199)</x:f>
        <x:v>0</x:v>
      </x:c>
      <x:c r="G66" s="88" t="n">
        <x:f>C66+D66+E66</x:f>
        <x:v>0</x:v>
      </x:c>
      <x:c r="H66" s="88" t="n">
        <x:f>SUM('SCHNEEBALL'!I1180:I1199)</x:f>
        <x:v>0</x:v>
      </x:c>
      <x:c r="I66" s="88" t="n">
        <x:f>SUM('ZINS-LAWINE'!F1180:F1199)</x:f>
        <x:v>0</x:v>
      </x:c>
      <x:c r="J66" s="88" t="n">
        <x:f>SUM('ZINS-LAWINE'!H1180:H1199)</x:f>
        <x:v>0</x:v>
      </x:c>
      <x:c r="K66" s="88" t="n">
        <x:f>SUM('ZINS-LAWINE'!G1180:G1199)</x:f>
        <x:v>0</x:v>
      </x:c>
      <x:c r="L66" s="88" t="n">
        <x:f>SUM('ZINS-LAWINE'!E1180:E1199)</x:f>
        <x:v>0</x:v>
      </x:c>
      <x:c r="M66" s="88" t="n">
        <x:f>I66+J66+K66</x:f>
        <x:v>0</x:v>
      </x:c>
      <x:c r="N66" s="88" t="n">
        <x:f>SUM('ZINS-LAWINE'!I1180:I1199)</x:f>
        <x:v>0</x:v>
      </x:c>
      <x:c r="O66" s="88" t="str">
        <x:f>IF(B66="","",MAX(0,C66-B66))</x:f>
      </x:c>
      <x:c r="P66" s="88" t="str">
        <x:f>IF(B66="","",MAX(0,I66-B66))</x:f>
      </x:c>
      <x:c r="Q66" s="88" t="n">
        <x:f>SUM('SCHNEEBALL'!K1180:K1199)</x:f>
        <x:v>0</x:v>
      </x:c>
      <x:c r="R66" t="str">
        <x:f>IF(B66="","BUDGET FEHLT",IF(OR(O66&gt;0,P66&gt;0),"NICHT FINANZIERBAR",IF(OR(Q66&gt;0,S66&gt;0),"SONDERBETRAG ÜBRIG","OK")))</x:f>
        <x:v>BUDGET FEHLT</x:v>
      </x:c>
      <x:c r="S66" s="88" t="n">
        <x:f>SUM('ZINS-LAWINE'!K1180:K1199)</x:f>
        <x:v>0</x:v>
      </x:c>
    </x:row>
    <x:row r="67" ht="21" customHeight="1">
      <x:c r="A67" s="90" t="n">
        <x:f>MONATSBUDGET!A67</x:f>
        <x:v>48030</x:v>
      </x:c>
      <x:c r="B67" s="88" t="str">
        <x:f>MONATSBUDGET!C67</x:f>
      </x:c>
      <x:c r="C67" s="88" t="n">
        <x:f>SUM('SCHNEEBALL'!F1200:F1219)</x:f>
        <x:v>0</x:v>
      </x:c>
      <x:c r="D67" s="88" t="n">
        <x:f>SUM('SCHNEEBALL'!H1200:H1219)</x:f>
        <x:v>0</x:v>
      </x:c>
      <x:c r="E67" s="88" t="n">
        <x:f>SUM('SCHNEEBALL'!G1200:G1219)</x:f>
        <x:v>0</x:v>
      </x:c>
      <x:c r="F67" s="88" t="n">
        <x:f>SUM('SCHNEEBALL'!E1200:E1219)</x:f>
        <x:v>0</x:v>
      </x:c>
      <x:c r="G67" s="88" t="n">
        <x:f>C67+D67+E67</x:f>
        <x:v>0</x:v>
      </x:c>
      <x:c r="H67" s="88" t="n">
        <x:f>SUM('SCHNEEBALL'!I1200:I1219)</x:f>
        <x:v>0</x:v>
      </x:c>
      <x:c r="I67" s="88" t="n">
        <x:f>SUM('ZINS-LAWINE'!F1200:F1219)</x:f>
        <x:v>0</x:v>
      </x:c>
      <x:c r="J67" s="88" t="n">
        <x:f>SUM('ZINS-LAWINE'!H1200:H1219)</x:f>
        <x:v>0</x:v>
      </x:c>
      <x:c r="K67" s="88" t="n">
        <x:f>SUM('ZINS-LAWINE'!G1200:G1219)</x:f>
        <x:v>0</x:v>
      </x:c>
      <x:c r="L67" s="88" t="n">
        <x:f>SUM('ZINS-LAWINE'!E1200:E1219)</x:f>
        <x:v>0</x:v>
      </x:c>
      <x:c r="M67" s="88" t="n">
        <x:f>I67+J67+K67</x:f>
        <x:v>0</x:v>
      </x:c>
      <x:c r="N67" s="88" t="n">
        <x:f>SUM('ZINS-LAWINE'!I1200:I1219)</x:f>
        <x:v>0</x:v>
      </x:c>
      <x:c r="O67" s="88" t="str">
        <x:f>IF(B67="","",MAX(0,C67-B67))</x:f>
      </x:c>
      <x:c r="P67" s="88" t="str">
        <x:f>IF(B67="","",MAX(0,I67-B67))</x:f>
      </x:c>
      <x:c r="Q67" s="88" t="n">
        <x:f>SUM('SCHNEEBALL'!K1200:K1219)</x:f>
        <x:v>0</x:v>
      </x:c>
      <x:c r="R67" t="str">
        <x:f>IF(B67="","BUDGET FEHLT",IF(OR(O67&gt;0,P67&gt;0),"NICHT FINANZIERBAR",IF(OR(Q67&gt;0,S67&gt;0),"SONDERBETRAG ÜBRIG","OK")))</x:f>
        <x:v>BUDGET FEHLT</x:v>
      </x:c>
      <x:c r="S67" s="88" t="n">
        <x:f>SUM('ZINS-LAWINE'!K1200:K1219)</x:f>
        <x:v>0</x:v>
      </x:c>
    </x:row>
    <x:row r="68" ht="21" customHeight="1">
      <x:c r="A68" s="90" t="n">
        <x:f>MONATSBUDGET!A68</x:f>
        <x:v>48061</x:v>
      </x:c>
      <x:c r="B68" s="88" t="str">
        <x:f>MONATSBUDGET!C68</x:f>
      </x:c>
      <x:c r="C68" s="88" t="n">
        <x:f>SUM('SCHNEEBALL'!F1220:F1239)</x:f>
        <x:v>0</x:v>
      </x:c>
      <x:c r="D68" s="88" t="n">
        <x:f>SUM('SCHNEEBALL'!H1220:H1239)</x:f>
        <x:v>0</x:v>
      </x:c>
      <x:c r="E68" s="88" t="n">
        <x:f>SUM('SCHNEEBALL'!G1220:G1239)</x:f>
        <x:v>0</x:v>
      </x:c>
      <x:c r="F68" s="88" t="n">
        <x:f>SUM('SCHNEEBALL'!E1220:E1239)</x:f>
        <x:v>0</x:v>
      </x:c>
      <x:c r="G68" s="88" t="n">
        <x:f>C68+D68+E68</x:f>
        <x:v>0</x:v>
      </x:c>
      <x:c r="H68" s="88" t="n">
        <x:f>SUM('SCHNEEBALL'!I1220:I1239)</x:f>
        <x:v>0</x:v>
      </x:c>
      <x:c r="I68" s="88" t="n">
        <x:f>SUM('ZINS-LAWINE'!F1220:F1239)</x:f>
        <x:v>0</x:v>
      </x:c>
      <x:c r="J68" s="88" t="n">
        <x:f>SUM('ZINS-LAWINE'!H1220:H1239)</x:f>
        <x:v>0</x:v>
      </x:c>
      <x:c r="K68" s="88" t="n">
        <x:f>SUM('ZINS-LAWINE'!G1220:G1239)</x:f>
        <x:v>0</x:v>
      </x:c>
      <x:c r="L68" s="88" t="n">
        <x:f>SUM('ZINS-LAWINE'!E1220:E1239)</x:f>
        <x:v>0</x:v>
      </x:c>
      <x:c r="M68" s="88" t="n">
        <x:f>I68+J68+K68</x:f>
        <x:v>0</x:v>
      </x:c>
      <x:c r="N68" s="88" t="n">
        <x:f>SUM('ZINS-LAWINE'!I1220:I1239)</x:f>
        <x:v>0</x:v>
      </x:c>
      <x:c r="O68" s="88" t="str">
        <x:f>IF(B68="","",MAX(0,C68-B68))</x:f>
      </x:c>
      <x:c r="P68" s="88" t="str">
        <x:f>IF(B68="","",MAX(0,I68-B68))</x:f>
      </x:c>
      <x:c r="Q68" s="88" t="n">
        <x:f>SUM('SCHNEEBALL'!K1220:K1239)</x:f>
        <x:v>0</x:v>
      </x:c>
      <x:c r="R68" t="str">
        <x:f>IF(B68="","BUDGET FEHLT",IF(OR(O68&gt;0,P68&gt;0),"NICHT FINANZIERBAR",IF(OR(Q68&gt;0,S68&gt;0),"SONDERBETRAG ÜBRIG","OK")))</x:f>
        <x:v>BUDGET FEHLT</x:v>
      </x:c>
      <x:c r="S68" s="88" t="n">
        <x:f>SUM('ZINS-LAWINE'!K1220:K1239)</x:f>
        <x:v>0</x:v>
      </x:c>
    </x:row>
    <x:row r="69" ht="21" customHeight="1">
      <x:c r="A69" s="90" t="n">
        <x:f>MONATSBUDGET!A69</x:f>
        <x:v>48092</x:v>
      </x:c>
      <x:c r="B69" s="88" t="str">
        <x:f>MONATSBUDGET!C69</x:f>
      </x:c>
      <x:c r="C69" s="88" t="n">
        <x:f>SUM('SCHNEEBALL'!F1240:F1259)</x:f>
        <x:v>0</x:v>
      </x:c>
      <x:c r="D69" s="88" t="n">
        <x:f>SUM('SCHNEEBALL'!H1240:H1259)</x:f>
        <x:v>0</x:v>
      </x:c>
      <x:c r="E69" s="88" t="n">
        <x:f>SUM('SCHNEEBALL'!G1240:G1259)</x:f>
        <x:v>0</x:v>
      </x:c>
      <x:c r="F69" s="88" t="n">
        <x:f>SUM('SCHNEEBALL'!E1240:E1259)</x:f>
        <x:v>0</x:v>
      </x:c>
      <x:c r="G69" s="88" t="n">
        <x:f>C69+D69+E69</x:f>
        <x:v>0</x:v>
      </x:c>
      <x:c r="H69" s="88" t="n">
        <x:f>SUM('SCHNEEBALL'!I1240:I1259)</x:f>
        <x:v>0</x:v>
      </x:c>
      <x:c r="I69" s="88" t="n">
        <x:f>SUM('ZINS-LAWINE'!F1240:F1259)</x:f>
        <x:v>0</x:v>
      </x:c>
      <x:c r="J69" s="88" t="n">
        <x:f>SUM('ZINS-LAWINE'!H1240:H1259)</x:f>
        <x:v>0</x:v>
      </x:c>
      <x:c r="K69" s="88" t="n">
        <x:f>SUM('ZINS-LAWINE'!G1240:G1259)</x:f>
        <x:v>0</x:v>
      </x:c>
      <x:c r="L69" s="88" t="n">
        <x:f>SUM('ZINS-LAWINE'!E1240:E1259)</x:f>
        <x:v>0</x:v>
      </x:c>
      <x:c r="M69" s="88" t="n">
        <x:f>I69+J69+K69</x:f>
        <x:v>0</x:v>
      </x:c>
      <x:c r="N69" s="88" t="n">
        <x:f>SUM('ZINS-LAWINE'!I1240:I1259)</x:f>
        <x:v>0</x:v>
      </x:c>
      <x:c r="O69" s="88" t="str">
        <x:f>IF(B69="","",MAX(0,C69-B69))</x:f>
      </x:c>
      <x:c r="P69" s="88" t="str">
        <x:f>IF(B69="","",MAX(0,I69-B69))</x:f>
      </x:c>
      <x:c r="Q69" s="88" t="n">
        <x:f>SUM('SCHNEEBALL'!K1240:K1259)</x:f>
        <x:v>0</x:v>
      </x:c>
      <x:c r="R69" t="str">
        <x:f>IF(B69="","BUDGET FEHLT",IF(OR(O69&gt;0,P69&gt;0),"NICHT FINANZIERBAR",IF(OR(Q69&gt;0,S69&gt;0),"SONDERBETRAG ÜBRIG","OK")))</x:f>
        <x:v>BUDGET FEHLT</x:v>
      </x:c>
      <x:c r="S69" s="88" t="n">
        <x:f>SUM('ZINS-LAWINE'!K1240:K1259)</x:f>
        <x:v>0</x:v>
      </x:c>
    </x:row>
    <x:row r="70" ht="21" customHeight="1">
      <x:c r="A70" s="90" t="n">
        <x:f>MONATSBUDGET!A70</x:f>
        <x:v>48122</x:v>
      </x:c>
      <x:c r="B70" s="88" t="str">
        <x:f>MONATSBUDGET!C70</x:f>
      </x:c>
      <x:c r="C70" s="88" t="n">
        <x:f>SUM('SCHNEEBALL'!F1260:F1279)</x:f>
        <x:v>0</x:v>
      </x:c>
      <x:c r="D70" s="88" t="n">
        <x:f>SUM('SCHNEEBALL'!H1260:H1279)</x:f>
        <x:v>0</x:v>
      </x:c>
      <x:c r="E70" s="88" t="n">
        <x:f>SUM('SCHNEEBALL'!G1260:G1279)</x:f>
        <x:v>0</x:v>
      </x:c>
      <x:c r="F70" s="88" t="n">
        <x:f>SUM('SCHNEEBALL'!E1260:E1279)</x:f>
        <x:v>0</x:v>
      </x:c>
      <x:c r="G70" s="88" t="n">
        <x:f>C70+D70+E70</x:f>
        <x:v>0</x:v>
      </x:c>
      <x:c r="H70" s="88" t="n">
        <x:f>SUM('SCHNEEBALL'!I1260:I1279)</x:f>
        <x:v>0</x:v>
      </x:c>
      <x:c r="I70" s="88" t="n">
        <x:f>SUM('ZINS-LAWINE'!F1260:F1279)</x:f>
        <x:v>0</x:v>
      </x:c>
      <x:c r="J70" s="88" t="n">
        <x:f>SUM('ZINS-LAWINE'!H1260:H1279)</x:f>
        <x:v>0</x:v>
      </x:c>
      <x:c r="K70" s="88" t="n">
        <x:f>SUM('ZINS-LAWINE'!G1260:G1279)</x:f>
        <x:v>0</x:v>
      </x:c>
      <x:c r="L70" s="88" t="n">
        <x:f>SUM('ZINS-LAWINE'!E1260:E1279)</x:f>
        <x:v>0</x:v>
      </x:c>
      <x:c r="M70" s="88" t="n">
        <x:f>I70+J70+K70</x:f>
        <x:v>0</x:v>
      </x:c>
      <x:c r="N70" s="88" t="n">
        <x:f>SUM('ZINS-LAWINE'!I1260:I1279)</x:f>
        <x:v>0</x:v>
      </x:c>
      <x:c r="O70" s="88" t="str">
        <x:f>IF(B70="","",MAX(0,C70-B70))</x:f>
      </x:c>
      <x:c r="P70" s="88" t="str">
        <x:f>IF(B70="","",MAX(0,I70-B70))</x:f>
      </x:c>
      <x:c r="Q70" s="88" t="n">
        <x:f>SUM('SCHNEEBALL'!K1260:K1279)</x:f>
        <x:v>0</x:v>
      </x:c>
      <x:c r="R70" t="str">
        <x:f>IF(B70="","BUDGET FEHLT",IF(OR(O70&gt;0,P70&gt;0),"NICHT FINANZIERBAR",IF(OR(Q70&gt;0,S70&gt;0),"SONDERBETRAG ÜBRIG","OK")))</x:f>
        <x:v>BUDGET FEHLT</x:v>
      </x:c>
      <x:c r="S70" s="88" t="n">
        <x:f>SUM('ZINS-LAWINE'!K1260:K1279)</x:f>
        <x:v>0</x:v>
      </x:c>
    </x:row>
    <x:row r="71" ht="21" customHeight="1">
      <x:c r="A71" s="90" t="n">
        <x:f>MONATSBUDGET!A71</x:f>
        <x:v>48153</x:v>
      </x:c>
      <x:c r="B71" s="88" t="str">
        <x:f>MONATSBUDGET!C71</x:f>
      </x:c>
      <x:c r="C71" s="88" t="n">
        <x:f>SUM('SCHNEEBALL'!F1280:F1299)</x:f>
        <x:v>0</x:v>
      </x:c>
      <x:c r="D71" s="88" t="n">
        <x:f>SUM('SCHNEEBALL'!H1280:H1299)</x:f>
        <x:v>0</x:v>
      </x:c>
      <x:c r="E71" s="88" t="n">
        <x:f>SUM('SCHNEEBALL'!G1280:G1299)</x:f>
        <x:v>0</x:v>
      </x:c>
      <x:c r="F71" s="88" t="n">
        <x:f>SUM('SCHNEEBALL'!E1280:E1299)</x:f>
        <x:v>0</x:v>
      </x:c>
      <x:c r="G71" s="88" t="n">
        <x:f>C71+D71+E71</x:f>
        <x:v>0</x:v>
      </x:c>
      <x:c r="H71" s="88" t="n">
        <x:f>SUM('SCHNEEBALL'!I1280:I1299)</x:f>
        <x:v>0</x:v>
      </x:c>
      <x:c r="I71" s="88" t="n">
        <x:f>SUM('ZINS-LAWINE'!F1280:F1299)</x:f>
        <x:v>0</x:v>
      </x:c>
      <x:c r="J71" s="88" t="n">
        <x:f>SUM('ZINS-LAWINE'!H1280:H1299)</x:f>
        <x:v>0</x:v>
      </x:c>
      <x:c r="K71" s="88" t="n">
        <x:f>SUM('ZINS-LAWINE'!G1280:G1299)</x:f>
        <x:v>0</x:v>
      </x:c>
      <x:c r="L71" s="88" t="n">
        <x:f>SUM('ZINS-LAWINE'!E1280:E1299)</x:f>
        <x:v>0</x:v>
      </x:c>
      <x:c r="M71" s="88" t="n">
        <x:f>I71+J71+K71</x:f>
        <x:v>0</x:v>
      </x:c>
      <x:c r="N71" s="88" t="n">
        <x:f>SUM('ZINS-LAWINE'!I1280:I1299)</x:f>
        <x:v>0</x:v>
      </x:c>
      <x:c r="O71" s="88" t="str">
        <x:f>IF(B71="","",MAX(0,C71-B71))</x:f>
      </x:c>
      <x:c r="P71" s="88" t="str">
        <x:f>IF(B71="","",MAX(0,I71-B71))</x:f>
      </x:c>
      <x:c r="Q71" s="88" t="n">
        <x:f>SUM('SCHNEEBALL'!K1280:K1299)</x:f>
        <x:v>0</x:v>
      </x:c>
      <x:c r="R71" t="str">
        <x:f>IF(B71="","BUDGET FEHLT",IF(OR(O71&gt;0,P71&gt;0),"NICHT FINANZIERBAR",IF(OR(Q71&gt;0,S71&gt;0),"SONDERBETRAG ÜBRIG","OK")))</x:f>
        <x:v>BUDGET FEHLT</x:v>
      </x:c>
      <x:c r="S71" s="88" t="n">
        <x:f>SUM('ZINS-LAWINE'!K1280:K1299)</x:f>
        <x:v>0</x:v>
      </x:c>
    </x:row>
    <x:row r="72" ht="21" customHeight="1">
      <x:c r="A72" s="90" t="n">
        <x:f>MONATSBUDGET!A72</x:f>
        <x:v>48183</x:v>
      </x:c>
      <x:c r="B72" s="88" t="str">
        <x:f>MONATSBUDGET!C72</x:f>
      </x:c>
      <x:c r="C72" s="88" t="n">
        <x:f>SUM('SCHNEEBALL'!F1300:F1319)</x:f>
        <x:v>0</x:v>
      </x:c>
      <x:c r="D72" s="88" t="n">
        <x:f>SUM('SCHNEEBALL'!H1300:H1319)</x:f>
        <x:v>0</x:v>
      </x:c>
      <x:c r="E72" s="88" t="n">
        <x:f>SUM('SCHNEEBALL'!G1300:G1319)</x:f>
        <x:v>0</x:v>
      </x:c>
      <x:c r="F72" s="88" t="n">
        <x:f>SUM('SCHNEEBALL'!E1300:E1319)</x:f>
        <x:v>0</x:v>
      </x:c>
      <x:c r="G72" s="88" t="n">
        <x:f>C72+D72+E72</x:f>
        <x:v>0</x:v>
      </x:c>
      <x:c r="H72" s="88" t="n">
        <x:f>SUM('SCHNEEBALL'!I1300:I1319)</x:f>
        <x:v>0</x:v>
      </x:c>
      <x:c r="I72" s="88" t="n">
        <x:f>SUM('ZINS-LAWINE'!F1300:F1319)</x:f>
        <x:v>0</x:v>
      </x:c>
      <x:c r="J72" s="88" t="n">
        <x:f>SUM('ZINS-LAWINE'!H1300:H1319)</x:f>
        <x:v>0</x:v>
      </x:c>
      <x:c r="K72" s="88" t="n">
        <x:f>SUM('ZINS-LAWINE'!G1300:G1319)</x:f>
        <x:v>0</x:v>
      </x:c>
      <x:c r="L72" s="88" t="n">
        <x:f>SUM('ZINS-LAWINE'!E1300:E1319)</x:f>
        <x:v>0</x:v>
      </x:c>
      <x:c r="M72" s="88" t="n">
        <x:f>I72+J72+K72</x:f>
        <x:v>0</x:v>
      </x:c>
      <x:c r="N72" s="88" t="n">
        <x:f>SUM('ZINS-LAWINE'!I1300:I1319)</x:f>
        <x:v>0</x:v>
      </x:c>
      <x:c r="O72" s="88" t="str">
        <x:f>IF(B72="","",MAX(0,C72-B72))</x:f>
      </x:c>
      <x:c r="P72" s="88" t="str">
        <x:f>IF(B72="","",MAX(0,I72-B72))</x:f>
      </x:c>
      <x:c r="Q72" s="88" t="n">
        <x:f>SUM('SCHNEEBALL'!K1300:K1319)</x:f>
        <x:v>0</x:v>
      </x:c>
      <x:c r="R72" t="str">
        <x:f>IF(B72="","BUDGET FEHLT",IF(OR(O72&gt;0,P72&gt;0),"NICHT FINANZIERBAR",IF(OR(Q72&gt;0,S72&gt;0),"SONDERBETRAG ÜBRIG","OK")))</x:f>
        <x:v>BUDGET FEHLT</x:v>
      </x:c>
      <x:c r="S72" s="88" t="n">
        <x:f>SUM('ZINS-LAWINE'!K1300:K1319)</x:f>
        <x:v>0</x:v>
      </x:c>
    </x:row>
    <x:row r="73" ht="21" customHeight="1">
      <x:c r="A73" s="90" t="n">
        <x:f>MONATSBUDGET!A73</x:f>
        <x:v>48214</x:v>
      </x:c>
      <x:c r="B73" s="88" t="str">
        <x:f>MONATSBUDGET!C73</x:f>
      </x:c>
      <x:c r="C73" s="88" t="n">
        <x:f>SUM('SCHNEEBALL'!F1320:F1339)</x:f>
        <x:v>0</x:v>
      </x:c>
      <x:c r="D73" s="88" t="n">
        <x:f>SUM('SCHNEEBALL'!H1320:H1339)</x:f>
        <x:v>0</x:v>
      </x:c>
      <x:c r="E73" s="88" t="n">
        <x:f>SUM('SCHNEEBALL'!G1320:G1339)</x:f>
        <x:v>0</x:v>
      </x:c>
      <x:c r="F73" s="88" t="n">
        <x:f>SUM('SCHNEEBALL'!E1320:E1339)</x:f>
        <x:v>0</x:v>
      </x:c>
      <x:c r="G73" s="88" t="n">
        <x:f>C73+D73+E73</x:f>
        <x:v>0</x:v>
      </x:c>
      <x:c r="H73" s="88" t="n">
        <x:f>SUM('SCHNEEBALL'!I1320:I1339)</x:f>
        <x:v>0</x:v>
      </x:c>
      <x:c r="I73" s="88" t="n">
        <x:f>SUM('ZINS-LAWINE'!F1320:F1339)</x:f>
        <x:v>0</x:v>
      </x:c>
      <x:c r="J73" s="88" t="n">
        <x:f>SUM('ZINS-LAWINE'!H1320:H1339)</x:f>
        <x:v>0</x:v>
      </x:c>
      <x:c r="K73" s="88" t="n">
        <x:f>SUM('ZINS-LAWINE'!G1320:G1339)</x:f>
        <x:v>0</x:v>
      </x:c>
      <x:c r="L73" s="88" t="n">
        <x:f>SUM('ZINS-LAWINE'!E1320:E1339)</x:f>
        <x:v>0</x:v>
      </x:c>
      <x:c r="M73" s="88" t="n">
        <x:f>I73+J73+K73</x:f>
        <x:v>0</x:v>
      </x:c>
      <x:c r="N73" s="88" t="n">
        <x:f>SUM('ZINS-LAWINE'!I1320:I1339)</x:f>
        <x:v>0</x:v>
      </x:c>
      <x:c r="O73" s="88" t="str">
        <x:f>IF(B73="","",MAX(0,C73-B73))</x:f>
      </x:c>
      <x:c r="P73" s="88" t="str">
        <x:f>IF(B73="","",MAX(0,I73-B73))</x:f>
      </x:c>
      <x:c r="Q73" s="88" t="n">
        <x:f>SUM('SCHNEEBALL'!K1320:K1339)</x:f>
        <x:v>0</x:v>
      </x:c>
      <x:c r="R73" t="str">
        <x:f>IF(B73="","BUDGET FEHLT",IF(OR(O73&gt;0,P73&gt;0),"NICHT FINANZIERBAR",IF(OR(Q73&gt;0,S73&gt;0),"SONDERBETRAG ÜBRIG","OK")))</x:f>
        <x:v>BUDGET FEHLT</x:v>
      </x:c>
      <x:c r="S73" s="88" t="n">
        <x:f>SUM('ZINS-LAWINE'!K1320:K1339)</x:f>
        <x:v>0</x:v>
      </x:c>
    </x:row>
    <x:row r="74" ht="21" customHeight="1">
      <x:c r="A74" s="90" t="n">
        <x:f>MONATSBUDGET!A74</x:f>
        <x:v>48245</x:v>
      </x:c>
      <x:c r="B74" s="88" t="str">
        <x:f>MONATSBUDGET!C74</x:f>
      </x:c>
      <x:c r="C74" s="88" t="n">
        <x:f>SUM('SCHNEEBALL'!F1340:F1359)</x:f>
        <x:v>0</x:v>
      </x:c>
      <x:c r="D74" s="88" t="n">
        <x:f>SUM('SCHNEEBALL'!H1340:H1359)</x:f>
        <x:v>0</x:v>
      </x:c>
      <x:c r="E74" s="88" t="n">
        <x:f>SUM('SCHNEEBALL'!G1340:G1359)</x:f>
        <x:v>0</x:v>
      </x:c>
      <x:c r="F74" s="88" t="n">
        <x:f>SUM('SCHNEEBALL'!E1340:E1359)</x:f>
        <x:v>0</x:v>
      </x:c>
      <x:c r="G74" s="88" t="n">
        <x:f>C74+D74+E74</x:f>
        <x:v>0</x:v>
      </x:c>
      <x:c r="H74" s="88" t="n">
        <x:f>SUM('SCHNEEBALL'!I1340:I1359)</x:f>
        <x:v>0</x:v>
      </x:c>
      <x:c r="I74" s="88" t="n">
        <x:f>SUM('ZINS-LAWINE'!F1340:F1359)</x:f>
        <x:v>0</x:v>
      </x:c>
      <x:c r="J74" s="88" t="n">
        <x:f>SUM('ZINS-LAWINE'!H1340:H1359)</x:f>
        <x:v>0</x:v>
      </x:c>
      <x:c r="K74" s="88" t="n">
        <x:f>SUM('ZINS-LAWINE'!G1340:G1359)</x:f>
        <x:v>0</x:v>
      </x:c>
      <x:c r="L74" s="88" t="n">
        <x:f>SUM('ZINS-LAWINE'!E1340:E1359)</x:f>
        <x:v>0</x:v>
      </x:c>
      <x:c r="M74" s="88" t="n">
        <x:f>I74+J74+K74</x:f>
        <x:v>0</x:v>
      </x:c>
      <x:c r="N74" s="88" t="n">
        <x:f>SUM('ZINS-LAWINE'!I1340:I1359)</x:f>
        <x:v>0</x:v>
      </x:c>
      <x:c r="O74" s="88" t="str">
        <x:f>IF(B74="","",MAX(0,C74-B74))</x:f>
      </x:c>
      <x:c r="P74" s="88" t="str">
        <x:f>IF(B74="","",MAX(0,I74-B74))</x:f>
      </x:c>
      <x:c r="Q74" s="88" t="n">
        <x:f>SUM('SCHNEEBALL'!K1340:K1359)</x:f>
        <x:v>0</x:v>
      </x:c>
      <x:c r="R74" t="str">
        <x:f>IF(B74="","BUDGET FEHLT",IF(OR(O74&gt;0,P74&gt;0),"NICHT FINANZIERBAR",IF(OR(Q74&gt;0,S74&gt;0),"SONDERBETRAG ÜBRIG","OK")))</x:f>
        <x:v>BUDGET FEHLT</x:v>
      </x:c>
      <x:c r="S74" s="88" t="n">
        <x:f>SUM('ZINS-LAWINE'!K1340:K1359)</x:f>
        <x:v>0</x:v>
      </x:c>
    </x:row>
    <x:row r="75" ht="21" customHeight="1">
      <x:c r="A75" s="90" t="n">
        <x:f>MONATSBUDGET!A75</x:f>
        <x:v>48274</x:v>
      </x:c>
      <x:c r="B75" s="88" t="str">
        <x:f>MONATSBUDGET!C75</x:f>
      </x:c>
      <x:c r="C75" s="88" t="n">
        <x:f>SUM('SCHNEEBALL'!F1360:F1379)</x:f>
        <x:v>0</x:v>
      </x:c>
      <x:c r="D75" s="88" t="n">
        <x:f>SUM('SCHNEEBALL'!H1360:H1379)</x:f>
        <x:v>0</x:v>
      </x:c>
      <x:c r="E75" s="88" t="n">
        <x:f>SUM('SCHNEEBALL'!G1360:G1379)</x:f>
        <x:v>0</x:v>
      </x:c>
      <x:c r="F75" s="88" t="n">
        <x:f>SUM('SCHNEEBALL'!E1360:E1379)</x:f>
        <x:v>0</x:v>
      </x:c>
      <x:c r="G75" s="88" t="n">
        <x:f>C75+D75+E75</x:f>
        <x:v>0</x:v>
      </x:c>
      <x:c r="H75" s="88" t="n">
        <x:f>SUM('SCHNEEBALL'!I1360:I1379)</x:f>
        <x:v>0</x:v>
      </x:c>
      <x:c r="I75" s="88" t="n">
        <x:f>SUM('ZINS-LAWINE'!F1360:F1379)</x:f>
        <x:v>0</x:v>
      </x:c>
      <x:c r="J75" s="88" t="n">
        <x:f>SUM('ZINS-LAWINE'!H1360:H1379)</x:f>
        <x:v>0</x:v>
      </x:c>
      <x:c r="K75" s="88" t="n">
        <x:f>SUM('ZINS-LAWINE'!G1360:G1379)</x:f>
        <x:v>0</x:v>
      </x:c>
      <x:c r="L75" s="88" t="n">
        <x:f>SUM('ZINS-LAWINE'!E1360:E1379)</x:f>
        <x:v>0</x:v>
      </x:c>
      <x:c r="M75" s="88" t="n">
        <x:f>I75+J75+K75</x:f>
        <x:v>0</x:v>
      </x:c>
      <x:c r="N75" s="88" t="n">
        <x:f>SUM('ZINS-LAWINE'!I1360:I1379)</x:f>
        <x:v>0</x:v>
      </x:c>
      <x:c r="O75" s="88" t="str">
        <x:f>IF(B75="","",MAX(0,C75-B75))</x:f>
      </x:c>
      <x:c r="P75" s="88" t="str">
        <x:f>IF(B75="","",MAX(0,I75-B75))</x:f>
      </x:c>
      <x:c r="Q75" s="88" t="n">
        <x:f>SUM('SCHNEEBALL'!K1360:K1379)</x:f>
        <x:v>0</x:v>
      </x:c>
      <x:c r="R75" t="str">
        <x:f>IF(B75="","BUDGET FEHLT",IF(OR(O75&gt;0,P75&gt;0),"NICHT FINANZIERBAR",IF(OR(Q75&gt;0,S75&gt;0),"SONDERBETRAG ÜBRIG","OK")))</x:f>
        <x:v>BUDGET FEHLT</x:v>
      </x:c>
      <x:c r="S75" s="88" t="n">
        <x:f>SUM('ZINS-LAWINE'!K1360:K1379)</x:f>
        <x:v>0</x:v>
      </x:c>
    </x:row>
    <x:row r="76" ht="21" customHeight="1">
      <x:c r="A76" s="90" t="n">
        <x:f>MONATSBUDGET!A76</x:f>
        <x:v>48305</x:v>
      </x:c>
      <x:c r="B76" s="88" t="str">
        <x:f>MONATSBUDGET!C76</x:f>
      </x:c>
      <x:c r="C76" s="88" t="n">
        <x:f>SUM('SCHNEEBALL'!F1380:F1399)</x:f>
        <x:v>0</x:v>
      </x:c>
      <x:c r="D76" s="88" t="n">
        <x:f>SUM('SCHNEEBALL'!H1380:H1399)</x:f>
        <x:v>0</x:v>
      </x:c>
      <x:c r="E76" s="88" t="n">
        <x:f>SUM('SCHNEEBALL'!G1380:G1399)</x:f>
        <x:v>0</x:v>
      </x:c>
      <x:c r="F76" s="88" t="n">
        <x:f>SUM('SCHNEEBALL'!E1380:E1399)</x:f>
        <x:v>0</x:v>
      </x:c>
      <x:c r="G76" s="88" t="n">
        <x:f>C76+D76+E76</x:f>
        <x:v>0</x:v>
      </x:c>
      <x:c r="H76" s="88" t="n">
        <x:f>SUM('SCHNEEBALL'!I1380:I1399)</x:f>
        <x:v>0</x:v>
      </x:c>
      <x:c r="I76" s="88" t="n">
        <x:f>SUM('ZINS-LAWINE'!F1380:F1399)</x:f>
        <x:v>0</x:v>
      </x:c>
      <x:c r="J76" s="88" t="n">
        <x:f>SUM('ZINS-LAWINE'!H1380:H1399)</x:f>
        <x:v>0</x:v>
      </x:c>
      <x:c r="K76" s="88" t="n">
        <x:f>SUM('ZINS-LAWINE'!G1380:G1399)</x:f>
        <x:v>0</x:v>
      </x:c>
      <x:c r="L76" s="88" t="n">
        <x:f>SUM('ZINS-LAWINE'!E1380:E1399)</x:f>
        <x:v>0</x:v>
      </x:c>
      <x:c r="M76" s="88" t="n">
        <x:f>I76+J76+K76</x:f>
        <x:v>0</x:v>
      </x:c>
      <x:c r="N76" s="88" t="n">
        <x:f>SUM('ZINS-LAWINE'!I1380:I1399)</x:f>
        <x:v>0</x:v>
      </x:c>
      <x:c r="O76" s="88" t="str">
        <x:f>IF(B76="","",MAX(0,C76-B76))</x:f>
      </x:c>
      <x:c r="P76" s="88" t="str">
        <x:f>IF(B76="","",MAX(0,I76-B76))</x:f>
      </x:c>
      <x:c r="Q76" s="88" t="n">
        <x:f>SUM('SCHNEEBALL'!K1380:K1399)</x:f>
        <x:v>0</x:v>
      </x:c>
      <x:c r="R76" t="str">
        <x:f>IF(B76="","BUDGET FEHLT",IF(OR(O76&gt;0,P76&gt;0),"NICHT FINANZIERBAR",IF(OR(Q76&gt;0,S76&gt;0),"SONDERBETRAG ÜBRIG","OK")))</x:f>
        <x:v>BUDGET FEHLT</x:v>
      </x:c>
      <x:c r="S76" s="88" t="n">
        <x:f>SUM('ZINS-LAWINE'!K1380:K1399)</x:f>
        <x:v>0</x:v>
      </x:c>
    </x:row>
    <x:row r="77" ht="21" customHeight="1">
      <x:c r="A77" s="90" t="n">
        <x:f>MONATSBUDGET!A77</x:f>
        <x:v>48335</x:v>
      </x:c>
      <x:c r="B77" s="88" t="str">
        <x:f>MONATSBUDGET!C77</x:f>
      </x:c>
      <x:c r="C77" s="88" t="n">
        <x:f>SUM('SCHNEEBALL'!F1400:F1419)</x:f>
        <x:v>0</x:v>
      </x:c>
      <x:c r="D77" s="88" t="n">
        <x:f>SUM('SCHNEEBALL'!H1400:H1419)</x:f>
        <x:v>0</x:v>
      </x:c>
      <x:c r="E77" s="88" t="n">
        <x:f>SUM('SCHNEEBALL'!G1400:G1419)</x:f>
        <x:v>0</x:v>
      </x:c>
      <x:c r="F77" s="88" t="n">
        <x:f>SUM('SCHNEEBALL'!E1400:E1419)</x:f>
        <x:v>0</x:v>
      </x:c>
      <x:c r="G77" s="88" t="n">
        <x:f>C77+D77+E77</x:f>
        <x:v>0</x:v>
      </x:c>
      <x:c r="H77" s="88" t="n">
        <x:f>SUM('SCHNEEBALL'!I1400:I1419)</x:f>
        <x:v>0</x:v>
      </x:c>
      <x:c r="I77" s="88" t="n">
        <x:f>SUM('ZINS-LAWINE'!F1400:F1419)</x:f>
        <x:v>0</x:v>
      </x:c>
      <x:c r="J77" s="88" t="n">
        <x:f>SUM('ZINS-LAWINE'!H1400:H1419)</x:f>
        <x:v>0</x:v>
      </x:c>
      <x:c r="K77" s="88" t="n">
        <x:f>SUM('ZINS-LAWINE'!G1400:G1419)</x:f>
        <x:v>0</x:v>
      </x:c>
      <x:c r="L77" s="88" t="n">
        <x:f>SUM('ZINS-LAWINE'!E1400:E1419)</x:f>
        <x:v>0</x:v>
      </x:c>
      <x:c r="M77" s="88" t="n">
        <x:f>I77+J77+K77</x:f>
        <x:v>0</x:v>
      </x:c>
      <x:c r="N77" s="88" t="n">
        <x:f>SUM('ZINS-LAWINE'!I1400:I1419)</x:f>
        <x:v>0</x:v>
      </x:c>
      <x:c r="O77" s="88" t="str">
        <x:f>IF(B77="","",MAX(0,C77-B77))</x:f>
      </x:c>
      <x:c r="P77" s="88" t="str">
        <x:f>IF(B77="","",MAX(0,I77-B77))</x:f>
      </x:c>
      <x:c r="Q77" s="88" t="n">
        <x:f>SUM('SCHNEEBALL'!K1400:K1419)</x:f>
        <x:v>0</x:v>
      </x:c>
      <x:c r="R77" t="str">
        <x:f>IF(B77="","BUDGET FEHLT",IF(OR(O77&gt;0,P77&gt;0),"NICHT FINANZIERBAR",IF(OR(Q77&gt;0,S77&gt;0),"SONDERBETRAG ÜBRIG","OK")))</x:f>
        <x:v>BUDGET FEHLT</x:v>
      </x:c>
      <x:c r="S77" s="88" t="n">
        <x:f>SUM('ZINS-LAWINE'!K1400:K1419)</x:f>
        <x:v>0</x:v>
      </x:c>
    </x:row>
    <x:row r="78" ht="21" customHeight="1">
      <x:c r="A78" s="90" t="n">
        <x:f>MONATSBUDGET!A78</x:f>
        <x:v>48366</x:v>
      </x:c>
      <x:c r="B78" s="88" t="str">
        <x:f>MONATSBUDGET!C78</x:f>
      </x:c>
      <x:c r="C78" s="88" t="n">
        <x:f>SUM('SCHNEEBALL'!F1420:F1439)</x:f>
        <x:v>0</x:v>
      </x:c>
      <x:c r="D78" s="88" t="n">
        <x:f>SUM('SCHNEEBALL'!H1420:H1439)</x:f>
        <x:v>0</x:v>
      </x:c>
      <x:c r="E78" s="88" t="n">
        <x:f>SUM('SCHNEEBALL'!G1420:G1439)</x:f>
        <x:v>0</x:v>
      </x:c>
      <x:c r="F78" s="88" t="n">
        <x:f>SUM('SCHNEEBALL'!E1420:E1439)</x:f>
        <x:v>0</x:v>
      </x:c>
      <x:c r="G78" s="88" t="n">
        <x:f>C78+D78+E78</x:f>
        <x:v>0</x:v>
      </x:c>
      <x:c r="H78" s="88" t="n">
        <x:f>SUM('SCHNEEBALL'!I1420:I1439)</x:f>
        <x:v>0</x:v>
      </x:c>
      <x:c r="I78" s="88" t="n">
        <x:f>SUM('ZINS-LAWINE'!F1420:F1439)</x:f>
        <x:v>0</x:v>
      </x:c>
      <x:c r="J78" s="88" t="n">
        <x:f>SUM('ZINS-LAWINE'!H1420:H1439)</x:f>
        <x:v>0</x:v>
      </x:c>
      <x:c r="K78" s="88" t="n">
        <x:f>SUM('ZINS-LAWINE'!G1420:G1439)</x:f>
        <x:v>0</x:v>
      </x:c>
      <x:c r="L78" s="88" t="n">
        <x:f>SUM('ZINS-LAWINE'!E1420:E1439)</x:f>
        <x:v>0</x:v>
      </x:c>
      <x:c r="M78" s="88" t="n">
        <x:f>I78+J78+K78</x:f>
        <x:v>0</x:v>
      </x:c>
      <x:c r="N78" s="88" t="n">
        <x:f>SUM('ZINS-LAWINE'!I1420:I1439)</x:f>
        <x:v>0</x:v>
      </x:c>
      <x:c r="O78" s="88" t="str">
        <x:f>IF(B78="","",MAX(0,C78-B78))</x:f>
      </x:c>
      <x:c r="P78" s="88" t="str">
        <x:f>IF(B78="","",MAX(0,I78-B78))</x:f>
      </x:c>
      <x:c r="Q78" s="88" t="n">
        <x:f>SUM('SCHNEEBALL'!K1420:K1439)</x:f>
        <x:v>0</x:v>
      </x:c>
      <x:c r="R78" t="str">
        <x:f>IF(B78="","BUDGET FEHLT",IF(OR(O78&gt;0,P78&gt;0),"NICHT FINANZIERBAR",IF(OR(Q78&gt;0,S78&gt;0),"SONDERBETRAG ÜBRIG","OK")))</x:f>
        <x:v>BUDGET FEHLT</x:v>
      </x:c>
      <x:c r="S78" s="88" t="n">
        <x:f>SUM('ZINS-LAWINE'!K1420:K1439)</x:f>
        <x:v>0</x:v>
      </x:c>
    </x:row>
    <x:row r="79" ht="21" customHeight="1">
      <x:c r="A79" s="90" t="n">
        <x:f>MONATSBUDGET!A79</x:f>
        <x:v>48396</x:v>
      </x:c>
      <x:c r="B79" s="88" t="str">
        <x:f>MONATSBUDGET!C79</x:f>
      </x:c>
      <x:c r="C79" s="88" t="n">
        <x:f>SUM('SCHNEEBALL'!F1440:F1459)</x:f>
        <x:v>0</x:v>
      </x:c>
      <x:c r="D79" s="88" t="n">
        <x:f>SUM('SCHNEEBALL'!H1440:H1459)</x:f>
        <x:v>0</x:v>
      </x:c>
      <x:c r="E79" s="88" t="n">
        <x:f>SUM('SCHNEEBALL'!G1440:G1459)</x:f>
        <x:v>0</x:v>
      </x:c>
      <x:c r="F79" s="88" t="n">
        <x:f>SUM('SCHNEEBALL'!E1440:E1459)</x:f>
        <x:v>0</x:v>
      </x:c>
      <x:c r="G79" s="88" t="n">
        <x:f>C79+D79+E79</x:f>
        <x:v>0</x:v>
      </x:c>
      <x:c r="H79" s="88" t="n">
        <x:f>SUM('SCHNEEBALL'!I1440:I1459)</x:f>
        <x:v>0</x:v>
      </x:c>
      <x:c r="I79" s="88" t="n">
        <x:f>SUM('ZINS-LAWINE'!F1440:F1459)</x:f>
        <x:v>0</x:v>
      </x:c>
      <x:c r="J79" s="88" t="n">
        <x:f>SUM('ZINS-LAWINE'!H1440:H1459)</x:f>
        <x:v>0</x:v>
      </x:c>
      <x:c r="K79" s="88" t="n">
        <x:f>SUM('ZINS-LAWINE'!G1440:G1459)</x:f>
        <x:v>0</x:v>
      </x:c>
      <x:c r="L79" s="88" t="n">
        <x:f>SUM('ZINS-LAWINE'!E1440:E1459)</x:f>
        <x:v>0</x:v>
      </x:c>
      <x:c r="M79" s="88" t="n">
        <x:f>I79+J79+K79</x:f>
        <x:v>0</x:v>
      </x:c>
      <x:c r="N79" s="88" t="n">
        <x:f>SUM('ZINS-LAWINE'!I1440:I1459)</x:f>
        <x:v>0</x:v>
      </x:c>
      <x:c r="O79" s="88" t="str">
        <x:f>IF(B79="","",MAX(0,C79-B79))</x:f>
      </x:c>
      <x:c r="P79" s="88" t="str">
        <x:f>IF(B79="","",MAX(0,I79-B79))</x:f>
      </x:c>
      <x:c r="Q79" s="88" t="n">
        <x:f>SUM('SCHNEEBALL'!K1440:K1459)</x:f>
        <x:v>0</x:v>
      </x:c>
      <x:c r="R79" t="str">
        <x:f>IF(B79="","BUDGET FEHLT",IF(OR(O79&gt;0,P79&gt;0),"NICHT FINANZIERBAR",IF(OR(Q79&gt;0,S79&gt;0),"SONDERBETRAG ÜBRIG","OK")))</x:f>
        <x:v>BUDGET FEHLT</x:v>
      </x:c>
      <x:c r="S79" s="88" t="n">
        <x:f>SUM('ZINS-LAWINE'!K1440:K1459)</x:f>
        <x:v>0</x:v>
      </x:c>
    </x:row>
    <x:row r="80" ht="21" customHeight="1">
      <x:c r="A80" s="90" t="n">
        <x:f>MONATSBUDGET!A80</x:f>
        <x:v>48427</x:v>
      </x:c>
      <x:c r="B80" s="88" t="n">
        <x:f>MONATSBUDGET!C80</x:f>
        <x:v>0</x:v>
      </x:c>
      <x:c r="C80" s="88" t="n">
        <x:f>SUM('SCHNEEBALL'!F1460:F1479)</x:f>
        <x:v>0</x:v>
      </x:c>
      <x:c r="D80" s="88" t="n">
        <x:f>SUM('SCHNEEBALL'!H1460:H1479)</x:f>
        <x:v>0</x:v>
      </x:c>
      <x:c r="E80" s="88" t="n">
        <x:f>SUM('SCHNEEBALL'!G1460:G1479)</x:f>
        <x:v>0</x:v>
      </x:c>
      <x:c r="F80" s="88" t="n">
        <x:f>SUM('SCHNEEBALL'!E1460:E1479)</x:f>
        <x:v>0</x:v>
      </x:c>
      <x:c r="G80" s="88" t="n">
        <x:f>C80+D80+E80</x:f>
        <x:v>0</x:v>
      </x:c>
      <x:c r="H80" s="88" t="n">
        <x:f>SUM('SCHNEEBALL'!I1460:I1479)</x:f>
        <x:v>0</x:v>
      </x:c>
      <x:c r="I80" s="88" t="n">
        <x:f>SUM('ZINS-LAWINE'!F1460:F1479)</x:f>
        <x:v>0</x:v>
      </x:c>
      <x:c r="J80" s="88" t="n">
        <x:f>SUM('ZINS-LAWINE'!H1460:H1479)</x:f>
        <x:v>0</x:v>
      </x:c>
      <x:c r="K80" s="88" t="n">
        <x:f>SUM('ZINS-LAWINE'!G1460:G1479)</x:f>
        <x:v>0</x:v>
      </x:c>
      <x:c r="L80" s="88" t="n">
        <x:f>SUM('ZINS-LAWINE'!E1460:E1479)</x:f>
        <x:v>0</x:v>
      </x:c>
      <x:c r="M80" s="88" t="n">
        <x:f>I80+J80+K80</x:f>
        <x:v>0</x:v>
      </x:c>
      <x:c r="N80" s="88" t="n">
        <x:f>SUM('ZINS-LAWINE'!I1460:I1479)</x:f>
        <x:v>0</x:v>
      </x:c>
      <x:c r="O80" s="88" t="str">
        <x:f>IF(B80="","",MAX(0,C80-B80))</x:f>
      </x:c>
      <x:c r="P80" s="88" t="str">
        <x:f>IF(B80="","",MAX(0,I80-B80))</x:f>
      </x:c>
      <x:c r="Q80" s="88" t="n">
        <x:f>SUM('SCHNEEBALL'!K1460:K1479)</x:f>
        <x:v>0</x:v>
      </x:c>
      <x:c r="R80" t="str">
        <x:f>IF(B80="","BUDGET FEHLT",IF(OR(O80&gt;0,P80&gt;0),"NICHT FINANZIERBAR",IF(OR(Q80&gt;0,S80&gt;0),"SONDERBETRAG ÜBRIG","OK")))</x:f>
        <x:v>BUDGET FEHLT</x:v>
      </x:c>
      <x:c r="S80" s="88" t="n">
        <x:f>SUM('ZINS-LAWINE'!K1460:K1479)</x:f>
        <x:v>0</x:v>
      </x:c>
    </x:row>
    <x:row r="81" ht="21" customHeight="1"/>
    <x:row r="82" ht="21" customHeight="1"/>
    <x:row r="83" ht="21" customHeight="1"/>
    <x:row r="84" ht="21" customHeight="1"/>
    <x:row r="85" ht="21" customHeight="1"/>
    <x:row r="86" ht="29" customHeight="1">
      <x:c r="A86" s="16" t="str">
        <x:v>WICHTIGER RECHENHINWEIS</x:v>
      </x:c>
      <x:c r="B86" s="16"/>
      <x:c r="C86" s="16"/>
      <x:c r="D86" s="16"/>
      <x:c r="E86" s="16"/>
      <x:c r="F86" s="16"/>
      <x:c r="G86" s="16"/>
      <x:c r="H86" s="16"/>
      <x:c r="I86" s="16"/>
      <x:c r="J86" s="16"/>
      <x:c r="K86" s="16"/>
      <x:c r="L86" s="16"/>
      <x:c r="M86" s="16"/>
      <x:c r="N86" s="16"/>
      <x:c r="O86" s="16"/>
      <x:c r="P86" s="16"/>
      <x:c r="Q86" s="16"/>
      <x:c r="R86" s="16"/>
    </x:row>
    <x:row r="87" ht="21" customHeight="1"/>
    <x:row r="88" ht="42" customHeight="1">
      <x:c r="A88" s="37" t="str">
        <x:v>Sind Raten höher als das verfügbare Budget, bleibt die Schuldentwicklung ein theoretisches Rechenbeispiel. Die Datei nimmt keine automatische Kürzung vertraglicher Mindestzahlungen vor.</x:v>
      </x:c>
      <x:c r="B88" s="37"/>
      <x:c r="C88" s="37"/>
      <x:c r="D88" s="37"/>
      <x:c r="E88" s="37"/>
      <x:c r="F88" s="37"/>
      <x:c r="G88" s="37"/>
      <x:c r="H88" s="37"/>
      <x:c r="I88" s="37"/>
      <x:c r="J88" s="37"/>
      <x:c r="K88" s="37"/>
      <x:c r="L88" s="37"/>
      <x:c r="M88" s="37"/>
      <x:c r="N88" s="37"/>
      <x:c r="O88" s="37"/>
      <x:c r="P88" s="37"/>
      <x:c r="Q88" s="37"/>
      <x:c r="R88" s="37"/>
    </x:row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</x:sheetData>
  <x:mergeCells>
    <x:mergeCell ref="A1:R2"/>
    <x:mergeCell ref="A3:R3"/>
    <x:mergeCell ref="A5:R5"/>
    <x:mergeCell ref="A86:R86"/>
    <x:mergeCell ref="A88:R88"/>
  </x:mergeCells>
  <x:conditionalFormatting sqref="O9:P80">
    <x:cfRule type="expression" dxfId="8" priority="1">
      <x:formula>AND(ISNUMBER(O9),O9&gt;0)</x:formula>
    </x:cfRule>
  </x:conditionalFormatting>
  <x:conditionalFormatting sqref="R9:R80">
    <x:cfRule type="expression" dxfId="9" priority="2">
      <x:formula>R9="NICHT FINANZIERBAR"</x:formula>
    </x:cfRule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9" hidden="0" customWidth="1"/>
    <x:col min="3" max="3" width="20" hidden="0" customWidth="1"/>
    <x:col min="4" max="4" width="20" hidden="0" customWidth="1"/>
    <x:col min="5" max="5" width="18" hidden="0" customWidth="1"/>
    <x:col min="6" max="6" width="17" hidden="0" customWidth="1"/>
    <x:col min="7" max="7" width="17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29" customHeight="1">
      <x:c r="A1" s="4" t="str">
        <x:v>NURGELD.DE  /  GLÄUBIGER-CHECK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8" customHeight="1">
      <x:c r="A3" s="10" t="str">
        <x:v>DEINE FORDERUNGEN IM DETAIL  ·  Auswertungsmonat selbst in STEUERUNG wählen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4" ht="21" customHeight="1"/>
    <x:row r="5" ht="40" customHeight="1">
      <x:c r="A5" s="37" t="str">
        <x:v>Restsalden je Forderung zum ausgewählten Monat. Beide Modelle nutzen dieselben Forderungen; Sonderzahlungen können je nach Reihenfolge unterschiedlich stark genutzt werden.</x:v>
      </x:c>
      <x:c r="B5" s="37"/>
      <x:c r="C5" s="37"/>
      <x:c r="D5" s="37"/>
      <x:c r="E5" s="37"/>
      <x:c r="F5" s="37"/>
      <x:c r="G5" s="37"/>
      <x:c r="H5" s="37"/>
      <x:c r="I5" s="37"/>
      <x:c r="J5" s="37"/>
      <x:c r="K5" s="37"/>
      <x:c r="L5" s="37"/>
    </x:row>
    <x:row r="6" ht="21" customHeight="1"/>
    <x:row r="7" ht="21" customHeight="1"/>
    <x:row r="8" ht="41" customHeight="1">
      <x:c r="A8" s="66" t="str">
        <x:v>ID</x:v>
      </x:c>
      <x:c r="B8" s="66" t="str">
        <x:v>Gläubiger</x:v>
      </x:c>
      <x:c r="C8" s="66" t="str">
        <x:v>Startsaldo (€)</x:v>
      </x:c>
      <x:c r="D8" s="66" t="str">
        <x:v>Zins p. a. (%)</x:v>
      </x:c>
      <x:c r="E8" s="66" t="str">
        <x:v>Mindestrate (€)</x:v>
      </x:c>
      <x:c r="F8" s="66" t="str">
        <x:v>Rang Schnee</x:v>
      </x:c>
      <x:c r="G8" s="66" t="str">
        <x:v>Rang Lawine</x:v>
      </x:c>
      <x:c r="H8" s="66" t="str">
        <x:v>Rest Schnee (€)</x:v>
      </x:c>
      <x:c r="I8" s="66" t="str">
        <x:v>Rest Lawine (€)</x:v>
      </x:c>
      <x:c r="J8" s="66" t="str">
        <x:v>Getilgt Schnee (€)</x:v>
      </x:c>
      <x:c r="K8" s="66" t="str">
        <x:v>Getilgt Lawine (€)</x:v>
      </x:c>
      <x:c r="L8" s="66" t="str">
        <x:v>Datencheck</x:v>
      </x:c>
    </x:row>
    <x:row r="9" ht="21" customHeight="1">
      <x:c r="A9" t="n">
        <x:f>FORDERUNGEN!A9</x:f>
        <x:v>1</x:v>
      </x:c>
      <x:c r="B9" t="n">
        <x:f>FORDERUNGEN!B9</x:f>
        <x:v>0</x:v>
      </x:c>
      <x:c r="C9" s="88" t="str">
        <x:f>IF(FORDERUNGEN!K9="OK",FORDERUNGEN!E9,"")</x:f>
      </x:c>
      <x:c r="D9" s="86" t="str">
        <x:f>IF(FORDERUNGEN!K9="OK",FORDERUNGEN!F9,"")</x:f>
      </x:c>
      <x:c r="E9" s="88" t="str">
        <x:f>IF(FORDERUNGEN!K9="OK",FORDERUNGEN!G9,"")</x:f>
      </x:c>
      <x:c r="F9" t="str">
        <x:f>FORDERUNGEN!L9</x:f>
      </x:c>
      <x:c r="G9" t="str">
        <x:f>FORDERUNGEN!M9</x:f>
      </x:c>
      <x:c r="H9" s="88" t="str">
        <x:f>IF(F9="","",INDEX(SCHNEEBALL!$I$40:$I$1479,(STEUERUNG!$B$13-1)*20+F9))</x:f>
      </x:c>
      <x:c r="I9" s="88" t="str">
        <x:f>IF(G9="","",INDEX('ZINS-LAWINE'!$I$40:$I$1479,(STEUERUNG!$B$13-1)*20+G9))</x:f>
      </x:c>
      <x:c r="J9" s="88" t="str">
        <x:f>IF(H9="","",MAX(0,C9-H9))</x:f>
      </x:c>
      <x:c r="K9" s="88" t="str">
        <x:f>IF(I9="","",MAX(0,C9-I9))</x:f>
      </x:c>
      <x:c r="L9" t="str">
        <x:f>FORDERUNGEN!K9</x:f>
      </x:c>
    </x:row>
    <x:row r="10" ht="21" customHeight="1">
      <x:c r="A10" t="n">
        <x:f>FORDERUNGEN!A10</x:f>
        <x:v>2</x:v>
      </x:c>
      <x:c r="B10" t="n">
        <x:f>FORDERUNGEN!B10</x:f>
        <x:v>0</x:v>
      </x:c>
      <x:c r="C10" s="88" t="str">
        <x:f>IF(FORDERUNGEN!K10="OK",FORDERUNGEN!E10,"")</x:f>
      </x:c>
      <x:c r="D10" s="86" t="str">
        <x:f>IF(FORDERUNGEN!K10="OK",FORDERUNGEN!F10,"")</x:f>
      </x:c>
      <x:c r="E10" s="88" t="str">
        <x:f>IF(FORDERUNGEN!K10="OK",FORDERUNGEN!G10,"")</x:f>
      </x:c>
      <x:c r="F10" t="str">
        <x:f>FORDERUNGEN!L10</x:f>
      </x:c>
      <x:c r="G10" t="str">
        <x:f>FORDERUNGEN!M10</x:f>
      </x:c>
      <x:c r="H10" s="88" t="str">
        <x:f>IF(F10="","",INDEX(SCHNEEBALL!$I$40:$I$1479,(STEUERUNG!$B$13-1)*20+F10))</x:f>
      </x:c>
      <x:c r="I10" s="88" t="str">
        <x:f>IF(G10="","",INDEX('ZINS-LAWINE'!$I$40:$I$1479,(STEUERUNG!$B$13-1)*20+G10))</x:f>
      </x:c>
      <x:c r="J10" s="88" t="str">
        <x:f>IF(H10="","",MAX(0,C10-H10))</x:f>
      </x:c>
      <x:c r="K10" s="88" t="str">
        <x:f>IF(I10="","",MAX(0,C10-I10))</x:f>
      </x:c>
      <x:c r="L10" t="str">
        <x:f>FORDERUNGEN!K10</x:f>
      </x:c>
    </x:row>
    <x:row r="11" ht="21" customHeight="1">
      <x:c r="A11" t="n">
        <x:f>FORDERUNGEN!A11</x:f>
        <x:v>3</x:v>
      </x:c>
      <x:c r="B11" t="n">
        <x:f>FORDERUNGEN!B11</x:f>
        <x:v>0</x:v>
      </x:c>
      <x:c r="C11" s="88" t="str">
        <x:f>IF(FORDERUNGEN!K11="OK",FORDERUNGEN!E11,"")</x:f>
      </x:c>
      <x:c r="D11" s="86" t="str">
        <x:f>IF(FORDERUNGEN!K11="OK",FORDERUNGEN!F11,"")</x:f>
      </x:c>
      <x:c r="E11" s="88" t="str">
        <x:f>IF(FORDERUNGEN!K11="OK",FORDERUNGEN!G11,"")</x:f>
      </x:c>
      <x:c r="F11" t="str">
        <x:f>FORDERUNGEN!L11</x:f>
      </x:c>
      <x:c r="G11" t="str">
        <x:f>FORDERUNGEN!M11</x:f>
      </x:c>
      <x:c r="H11" s="88" t="str">
        <x:f>IF(F11="","",INDEX(SCHNEEBALL!$I$40:$I$1479,(STEUERUNG!$B$13-1)*20+F11))</x:f>
      </x:c>
      <x:c r="I11" s="88" t="str">
        <x:f>IF(G11="","",INDEX('ZINS-LAWINE'!$I$40:$I$1479,(STEUERUNG!$B$13-1)*20+G11))</x:f>
      </x:c>
      <x:c r="J11" s="88" t="str">
        <x:f>IF(H11="","",MAX(0,C11-H11))</x:f>
      </x:c>
      <x:c r="K11" s="88" t="str">
        <x:f>IF(I11="","",MAX(0,C11-I11))</x:f>
      </x:c>
      <x:c r="L11" t="str">
        <x:f>FORDERUNGEN!K11</x:f>
      </x:c>
    </x:row>
    <x:row r="12" ht="21" customHeight="1">
      <x:c r="A12" t="n">
        <x:f>FORDERUNGEN!A12</x:f>
        <x:v>4</x:v>
      </x:c>
      <x:c r="B12" t="n">
        <x:f>FORDERUNGEN!B12</x:f>
        <x:v>0</x:v>
      </x:c>
      <x:c r="C12" s="88" t="str">
        <x:f>IF(FORDERUNGEN!K12="OK",FORDERUNGEN!E12,"")</x:f>
      </x:c>
      <x:c r="D12" s="86" t="str">
        <x:f>IF(FORDERUNGEN!K12="OK",FORDERUNGEN!F12,"")</x:f>
      </x:c>
      <x:c r="E12" s="88" t="str">
        <x:f>IF(FORDERUNGEN!K12="OK",FORDERUNGEN!G12,"")</x:f>
      </x:c>
      <x:c r="F12" t="str">
        <x:f>FORDERUNGEN!L12</x:f>
      </x:c>
      <x:c r="G12" t="str">
        <x:f>FORDERUNGEN!M12</x:f>
      </x:c>
      <x:c r="H12" s="88" t="str">
        <x:f>IF(F12="","",INDEX(SCHNEEBALL!$I$40:$I$1479,(STEUERUNG!$B$13-1)*20+F12))</x:f>
      </x:c>
      <x:c r="I12" s="88" t="str">
        <x:f>IF(G12="","",INDEX('ZINS-LAWINE'!$I$40:$I$1479,(STEUERUNG!$B$13-1)*20+G12))</x:f>
      </x:c>
      <x:c r="J12" s="88" t="str">
        <x:f>IF(H12="","",MAX(0,C12-H12))</x:f>
      </x:c>
      <x:c r="K12" s="88" t="str">
        <x:f>IF(I12="","",MAX(0,C12-I12))</x:f>
      </x:c>
      <x:c r="L12" t="str">
        <x:f>FORDERUNGEN!K12</x:f>
      </x:c>
    </x:row>
    <x:row r="13" ht="21" customHeight="1">
      <x:c r="A13" t="n">
        <x:f>FORDERUNGEN!A13</x:f>
        <x:v>5</x:v>
      </x:c>
      <x:c r="B13" t="n">
        <x:f>FORDERUNGEN!B13</x:f>
        <x:v>0</x:v>
      </x:c>
      <x:c r="C13" s="88" t="str">
        <x:f>IF(FORDERUNGEN!K13="OK",FORDERUNGEN!E13,"")</x:f>
      </x:c>
      <x:c r="D13" s="86" t="str">
        <x:f>IF(FORDERUNGEN!K13="OK",FORDERUNGEN!F13,"")</x:f>
      </x:c>
      <x:c r="E13" s="88" t="str">
        <x:f>IF(FORDERUNGEN!K13="OK",FORDERUNGEN!G13,"")</x:f>
      </x:c>
      <x:c r="F13" t="str">
        <x:f>FORDERUNGEN!L13</x:f>
      </x:c>
      <x:c r="G13" t="str">
        <x:f>FORDERUNGEN!M13</x:f>
      </x:c>
      <x:c r="H13" s="88" t="str">
        <x:f>IF(F13="","",INDEX(SCHNEEBALL!$I$40:$I$1479,(STEUERUNG!$B$13-1)*20+F13))</x:f>
      </x:c>
      <x:c r="I13" s="88" t="str">
        <x:f>IF(G13="","",INDEX('ZINS-LAWINE'!$I$40:$I$1479,(STEUERUNG!$B$13-1)*20+G13))</x:f>
      </x:c>
      <x:c r="J13" s="88" t="str">
        <x:f>IF(H13="","",MAX(0,C13-H13))</x:f>
      </x:c>
      <x:c r="K13" s="88" t="str">
        <x:f>IF(I13="","",MAX(0,C13-I13))</x:f>
      </x:c>
      <x:c r="L13" t="str">
        <x:f>FORDERUNGEN!K13</x:f>
      </x:c>
    </x:row>
    <x:row r="14" ht="21" customHeight="1">
      <x:c r="A14" t="n">
        <x:f>FORDERUNGEN!A14</x:f>
        <x:v>6</x:v>
      </x:c>
      <x:c r="B14" t="n">
        <x:f>FORDERUNGEN!B14</x:f>
        <x:v>0</x:v>
      </x:c>
      <x:c r="C14" s="88" t="str">
        <x:f>IF(FORDERUNGEN!K14="OK",FORDERUNGEN!E14,"")</x:f>
      </x:c>
      <x:c r="D14" s="86" t="str">
        <x:f>IF(FORDERUNGEN!K14="OK",FORDERUNGEN!F14,"")</x:f>
      </x:c>
      <x:c r="E14" s="88" t="str">
        <x:f>IF(FORDERUNGEN!K14="OK",FORDERUNGEN!G14,"")</x:f>
      </x:c>
      <x:c r="F14" t="str">
        <x:f>FORDERUNGEN!L14</x:f>
      </x:c>
      <x:c r="G14" t="str">
        <x:f>FORDERUNGEN!M14</x:f>
      </x:c>
      <x:c r="H14" s="88" t="str">
        <x:f>IF(F14="","",INDEX(SCHNEEBALL!$I$40:$I$1479,(STEUERUNG!$B$13-1)*20+F14))</x:f>
      </x:c>
      <x:c r="I14" s="88" t="str">
        <x:f>IF(G14="","",INDEX('ZINS-LAWINE'!$I$40:$I$1479,(STEUERUNG!$B$13-1)*20+G14))</x:f>
      </x:c>
      <x:c r="J14" s="88" t="str">
        <x:f>IF(H14="","",MAX(0,C14-H14))</x:f>
      </x:c>
      <x:c r="K14" s="88" t="str">
        <x:f>IF(I14="","",MAX(0,C14-I14))</x:f>
      </x:c>
      <x:c r="L14" t="str">
        <x:f>FORDERUNGEN!K14</x:f>
      </x:c>
    </x:row>
    <x:row r="15" ht="21" customHeight="1">
      <x:c r="A15" t="n">
        <x:f>FORDERUNGEN!A15</x:f>
        <x:v>7</x:v>
      </x:c>
      <x:c r="B15" t="n">
        <x:f>FORDERUNGEN!B15</x:f>
        <x:v>0</x:v>
      </x:c>
      <x:c r="C15" s="88" t="str">
        <x:f>IF(FORDERUNGEN!K15="OK",FORDERUNGEN!E15,"")</x:f>
      </x:c>
      <x:c r="D15" s="86" t="str">
        <x:f>IF(FORDERUNGEN!K15="OK",FORDERUNGEN!F15,"")</x:f>
      </x:c>
      <x:c r="E15" s="88" t="str">
        <x:f>IF(FORDERUNGEN!K15="OK",FORDERUNGEN!G15,"")</x:f>
      </x:c>
      <x:c r="F15" t="str">
        <x:f>FORDERUNGEN!L15</x:f>
      </x:c>
      <x:c r="G15" t="str">
        <x:f>FORDERUNGEN!M15</x:f>
      </x:c>
      <x:c r="H15" s="88" t="str">
        <x:f>IF(F15="","",INDEX(SCHNEEBALL!$I$40:$I$1479,(STEUERUNG!$B$13-1)*20+F15))</x:f>
      </x:c>
      <x:c r="I15" s="88" t="str">
        <x:f>IF(G15="","",INDEX('ZINS-LAWINE'!$I$40:$I$1479,(STEUERUNG!$B$13-1)*20+G15))</x:f>
      </x:c>
      <x:c r="J15" s="88" t="str">
        <x:f>IF(H15="","",MAX(0,C15-H15))</x:f>
      </x:c>
      <x:c r="K15" s="88" t="str">
        <x:f>IF(I15="","",MAX(0,C15-I15))</x:f>
      </x:c>
      <x:c r="L15" t="str">
        <x:f>FORDERUNGEN!K15</x:f>
      </x:c>
    </x:row>
    <x:row r="16" ht="21" customHeight="1">
      <x:c r="A16" t="n">
        <x:f>FORDERUNGEN!A16</x:f>
        <x:v>8</x:v>
      </x:c>
      <x:c r="B16" t="n">
        <x:f>FORDERUNGEN!B16</x:f>
        <x:v>0</x:v>
      </x:c>
      <x:c r="C16" s="88" t="str">
        <x:f>IF(FORDERUNGEN!K16="OK",FORDERUNGEN!E16,"")</x:f>
      </x:c>
      <x:c r="D16" s="86" t="str">
        <x:f>IF(FORDERUNGEN!K16="OK",FORDERUNGEN!F16,"")</x:f>
      </x:c>
      <x:c r="E16" s="88" t="str">
        <x:f>IF(FORDERUNGEN!K16="OK",FORDERUNGEN!G16,"")</x:f>
      </x:c>
      <x:c r="F16" t="str">
        <x:f>FORDERUNGEN!L16</x:f>
      </x:c>
      <x:c r="G16" t="str">
        <x:f>FORDERUNGEN!M16</x:f>
      </x:c>
      <x:c r="H16" s="88" t="str">
        <x:f>IF(F16="","",INDEX(SCHNEEBALL!$I$40:$I$1479,(STEUERUNG!$B$13-1)*20+F16))</x:f>
      </x:c>
      <x:c r="I16" s="88" t="str">
        <x:f>IF(G16="","",INDEX('ZINS-LAWINE'!$I$40:$I$1479,(STEUERUNG!$B$13-1)*20+G16))</x:f>
      </x:c>
      <x:c r="J16" s="88" t="str">
        <x:f>IF(H16="","",MAX(0,C16-H16))</x:f>
      </x:c>
      <x:c r="K16" s="88" t="str">
        <x:f>IF(I16="","",MAX(0,C16-I16))</x:f>
      </x:c>
      <x:c r="L16" t="str">
        <x:f>FORDERUNGEN!K16</x:f>
      </x:c>
    </x:row>
    <x:row r="17" ht="21" customHeight="1">
      <x:c r="A17" t="n">
        <x:f>FORDERUNGEN!A17</x:f>
        <x:v>9</x:v>
      </x:c>
      <x:c r="B17" t="n">
        <x:f>FORDERUNGEN!B17</x:f>
        <x:v>0</x:v>
      </x:c>
      <x:c r="C17" s="88" t="str">
        <x:f>IF(FORDERUNGEN!K17="OK",FORDERUNGEN!E17,"")</x:f>
      </x:c>
      <x:c r="D17" s="86" t="str">
        <x:f>IF(FORDERUNGEN!K17="OK",FORDERUNGEN!F17,"")</x:f>
      </x:c>
      <x:c r="E17" s="88" t="str">
        <x:f>IF(FORDERUNGEN!K17="OK",FORDERUNGEN!G17,"")</x:f>
      </x:c>
      <x:c r="F17" t="str">
        <x:f>FORDERUNGEN!L17</x:f>
      </x:c>
      <x:c r="G17" t="str">
        <x:f>FORDERUNGEN!M17</x:f>
      </x:c>
      <x:c r="H17" s="88" t="str">
        <x:f>IF(F17="","",INDEX(SCHNEEBALL!$I$40:$I$1479,(STEUERUNG!$B$13-1)*20+F17))</x:f>
      </x:c>
      <x:c r="I17" s="88" t="str">
        <x:f>IF(G17="","",INDEX('ZINS-LAWINE'!$I$40:$I$1479,(STEUERUNG!$B$13-1)*20+G17))</x:f>
      </x:c>
      <x:c r="J17" s="88" t="str">
        <x:f>IF(H17="","",MAX(0,C17-H17))</x:f>
      </x:c>
      <x:c r="K17" s="88" t="str">
        <x:f>IF(I17="","",MAX(0,C17-I17))</x:f>
      </x:c>
      <x:c r="L17" t="str">
        <x:f>FORDERUNGEN!K17</x:f>
      </x:c>
    </x:row>
    <x:row r="18" ht="21" customHeight="1">
      <x:c r="A18" t="n">
        <x:f>FORDERUNGEN!A18</x:f>
        <x:v>10</x:v>
      </x:c>
      <x:c r="B18" t="n">
        <x:f>FORDERUNGEN!B18</x:f>
        <x:v>0</x:v>
      </x:c>
      <x:c r="C18" s="88" t="str">
        <x:f>IF(FORDERUNGEN!K18="OK",FORDERUNGEN!E18,"")</x:f>
      </x:c>
      <x:c r="D18" s="86" t="str">
        <x:f>IF(FORDERUNGEN!K18="OK",FORDERUNGEN!F18,"")</x:f>
      </x:c>
      <x:c r="E18" s="88" t="str">
        <x:f>IF(FORDERUNGEN!K18="OK",FORDERUNGEN!G18,"")</x:f>
      </x:c>
      <x:c r="F18" t="str">
        <x:f>FORDERUNGEN!L18</x:f>
      </x:c>
      <x:c r="G18" t="str">
        <x:f>FORDERUNGEN!M18</x:f>
      </x:c>
      <x:c r="H18" s="88" t="str">
        <x:f>IF(F18="","",INDEX(SCHNEEBALL!$I$40:$I$1479,(STEUERUNG!$B$13-1)*20+F18))</x:f>
      </x:c>
      <x:c r="I18" s="88" t="str">
        <x:f>IF(G18="","",INDEX('ZINS-LAWINE'!$I$40:$I$1479,(STEUERUNG!$B$13-1)*20+G18))</x:f>
      </x:c>
      <x:c r="J18" s="88" t="str">
        <x:f>IF(H18="","",MAX(0,C18-H18))</x:f>
      </x:c>
      <x:c r="K18" s="88" t="str">
        <x:f>IF(I18="","",MAX(0,C18-I18))</x:f>
      </x:c>
      <x:c r="L18" t="str">
        <x:f>FORDERUNGEN!K18</x:f>
      </x:c>
    </x:row>
    <x:row r="19" ht="21" customHeight="1">
      <x:c r="A19" t="n">
        <x:f>FORDERUNGEN!A19</x:f>
        <x:v>11</x:v>
      </x:c>
      <x:c r="B19" t="n">
        <x:f>FORDERUNGEN!B19</x:f>
        <x:v>0</x:v>
      </x:c>
      <x:c r="C19" s="88" t="str">
        <x:f>IF(FORDERUNGEN!K19="OK",FORDERUNGEN!E19,"")</x:f>
      </x:c>
      <x:c r="D19" s="86" t="str">
        <x:f>IF(FORDERUNGEN!K19="OK",FORDERUNGEN!F19,"")</x:f>
      </x:c>
      <x:c r="E19" s="88" t="str">
        <x:f>IF(FORDERUNGEN!K19="OK",FORDERUNGEN!G19,"")</x:f>
      </x:c>
      <x:c r="F19" t="str">
        <x:f>FORDERUNGEN!L19</x:f>
      </x:c>
      <x:c r="G19" t="str">
        <x:f>FORDERUNGEN!M19</x:f>
      </x:c>
      <x:c r="H19" s="88" t="str">
        <x:f>IF(F19="","",INDEX(SCHNEEBALL!$I$40:$I$1479,(STEUERUNG!$B$13-1)*20+F19))</x:f>
      </x:c>
      <x:c r="I19" s="88" t="str">
        <x:f>IF(G19="","",INDEX('ZINS-LAWINE'!$I$40:$I$1479,(STEUERUNG!$B$13-1)*20+G19))</x:f>
      </x:c>
      <x:c r="J19" s="88" t="str">
        <x:f>IF(H19="","",MAX(0,C19-H19))</x:f>
      </x:c>
      <x:c r="K19" s="88" t="str">
        <x:f>IF(I19="","",MAX(0,C19-I19))</x:f>
      </x:c>
      <x:c r="L19" t="str">
        <x:f>FORDERUNGEN!K19</x:f>
      </x:c>
    </x:row>
    <x:row r="20" ht="21" customHeight="1">
      <x:c r="A20" t="n">
        <x:f>FORDERUNGEN!A20</x:f>
        <x:v>12</x:v>
      </x:c>
      <x:c r="B20" t="n">
        <x:f>FORDERUNGEN!B20</x:f>
        <x:v>0</x:v>
      </x:c>
      <x:c r="C20" s="88" t="str">
        <x:f>IF(FORDERUNGEN!K20="OK",FORDERUNGEN!E20,"")</x:f>
      </x:c>
      <x:c r="D20" s="86" t="str">
        <x:f>IF(FORDERUNGEN!K20="OK",FORDERUNGEN!F20,"")</x:f>
      </x:c>
      <x:c r="E20" s="88" t="str">
        <x:f>IF(FORDERUNGEN!K20="OK",FORDERUNGEN!G20,"")</x:f>
      </x:c>
      <x:c r="F20" t="str">
        <x:f>FORDERUNGEN!L20</x:f>
      </x:c>
      <x:c r="G20" t="str">
        <x:f>FORDERUNGEN!M20</x:f>
      </x:c>
      <x:c r="H20" s="88" t="str">
        <x:f>IF(F20="","",INDEX(SCHNEEBALL!$I$40:$I$1479,(STEUERUNG!$B$13-1)*20+F20))</x:f>
      </x:c>
      <x:c r="I20" s="88" t="str">
        <x:f>IF(G20="","",INDEX('ZINS-LAWINE'!$I$40:$I$1479,(STEUERUNG!$B$13-1)*20+G20))</x:f>
      </x:c>
      <x:c r="J20" s="88" t="str">
        <x:f>IF(H20="","",MAX(0,C20-H20))</x:f>
      </x:c>
      <x:c r="K20" s="88" t="str">
        <x:f>IF(I20="","",MAX(0,C20-I20))</x:f>
      </x:c>
      <x:c r="L20" t="str">
        <x:f>FORDERUNGEN!K20</x:f>
      </x:c>
    </x:row>
    <x:row r="21" ht="21" customHeight="1">
      <x:c r="A21" t="n">
        <x:f>FORDERUNGEN!A21</x:f>
        <x:v>13</x:v>
      </x:c>
      <x:c r="B21" t="n">
        <x:f>FORDERUNGEN!B21</x:f>
        <x:v>0</x:v>
      </x:c>
      <x:c r="C21" s="88" t="str">
        <x:f>IF(FORDERUNGEN!K21="OK",FORDERUNGEN!E21,"")</x:f>
      </x:c>
      <x:c r="D21" s="86" t="str">
        <x:f>IF(FORDERUNGEN!K21="OK",FORDERUNGEN!F21,"")</x:f>
      </x:c>
      <x:c r="E21" s="88" t="str">
        <x:f>IF(FORDERUNGEN!K21="OK",FORDERUNGEN!G21,"")</x:f>
      </x:c>
      <x:c r="F21" t="str">
        <x:f>FORDERUNGEN!L21</x:f>
      </x:c>
      <x:c r="G21" t="str">
        <x:f>FORDERUNGEN!M21</x:f>
      </x:c>
      <x:c r="H21" s="88" t="str">
        <x:f>IF(F21="","",INDEX(SCHNEEBALL!$I$40:$I$1479,(STEUERUNG!$B$13-1)*20+F21))</x:f>
      </x:c>
      <x:c r="I21" s="88" t="str">
        <x:f>IF(G21="","",INDEX('ZINS-LAWINE'!$I$40:$I$1479,(STEUERUNG!$B$13-1)*20+G21))</x:f>
      </x:c>
      <x:c r="J21" s="88" t="str">
        <x:f>IF(H21="","",MAX(0,C21-H21))</x:f>
      </x:c>
      <x:c r="K21" s="88" t="str">
        <x:f>IF(I21="","",MAX(0,C21-I21))</x:f>
      </x:c>
      <x:c r="L21" t="str">
        <x:f>FORDERUNGEN!K21</x:f>
      </x:c>
    </x:row>
    <x:row r="22" ht="21" customHeight="1">
      <x:c r="A22" t="n">
        <x:f>FORDERUNGEN!A22</x:f>
        <x:v>14</x:v>
      </x:c>
      <x:c r="B22" t="n">
        <x:f>FORDERUNGEN!B22</x:f>
        <x:v>0</x:v>
      </x:c>
      <x:c r="C22" s="88" t="str">
        <x:f>IF(FORDERUNGEN!K22="OK",FORDERUNGEN!E22,"")</x:f>
      </x:c>
      <x:c r="D22" s="86" t="str">
        <x:f>IF(FORDERUNGEN!K22="OK",FORDERUNGEN!F22,"")</x:f>
      </x:c>
      <x:c r="E22" s="88" t="str">
        <x:f>IF(FORDERUNGEN!K22="OK",FORDERUNGEN!G22,"")</x:f>
      </x:c>
      <x:c r="F22" t="str">
        <x:f>FORDERUNGEN!L22</x:f>
      </x:c>
      <x:c r="G22" t="str">
        <x:f>FORDERUNGEN!M22</x:f>
      </x:c>
      <x:c r="H22" s="88" t="str">
        <x:f>IF(F22="","",INDEX(SCHNEEBALL!$I$40:$I$1479,(STEUERUNG!$B$13-1)*20+F22))</x:f>
      </x:c>
      <x:c r="I22" s="88" t="str">
        <x:f>IF(G22="","",INDEX('ZINS-LAWINE'!$I$40:$I$1479,(STEUERUNG!$B$13-1)*20+G22))</x:f>
      </x:c>
      <x:c r="J22" s="88" t="str">
        <x:f>IF(H22="","",MAX(0,C22-H22))</x:f>
      </x:c>
      <x:c r="K22" s="88" t="str">
        <x:f>IF(I22="","",MAX(0,C22-I22))</x:f>
      </x:c>
      <x:c r="L22" t="str">
        <x:f>FORDERUNGEN!K22</x:f>
      </x:c>
    </x:row>
    <x:row r="23" ht="21" customHeight="1">
      <x:c r="A23" t="n">
        <x:f>FORDERUNGEN!A23</x:f>
        <x:v>15</x:v>
      </x:c>
      <x:c r="B23" t="n">
        <x:f>FORDERUNGEN!B23</x:f>
        <x:v>0</x:v>
      </x:c>
      <x:c r="C23" s="88" t="str">
        <x:f>IF(FORDERUNGEN!K23="OK",FORDERUNGEN!E23,"")</x:f>
      </x:c>
      <x:c r="D23" s="86" t="str">
        <x:f>IF(FORDERUNGEN!K23="OK",FORDERUNGEN!F23,"")</x:f>
      </x:c>
      <x:c r="E23" s="88" t="str">
        <x:f>IF(FORDERUNGEN!K23="OK",FORDERUNGEN!G23,"")</x:f>
      </x:c>
      <x:c r="F23" t="str">
        <x:f>FORDERUNGEN!L23</x:f>
      </x:c>
      <x:c r="G23" t="str">
        <x:f>FORDERUNGEN!M23</x:f>
      </x:c>
      <x:c r="H23" s="88" t="str">
        <x:f>IF(F23="","",INDEX(SCHNEEBALL!$I$40:$I$1479,(STEUERUNG!$B$13-1)*20+F23))</x:f>
      </x:c>
      <x:c r="I23" s="88" t="str">
        <x:f>IF(G23="","",INDEX('ZINS-LAWINE'!$I$40:$I$1479,(STEUERUNG!$B$13-1)*20+G23))</x:f>
      </x:c>
      <x:c r="J23" s="88" t="str">
        <x:f>IF(H23="","",MAX(0,C23-H23))</x:f>
      </x:c>
      <x:c r="K23" s="88" t="str">
        <x:f>IF(I23="","",MAX(0,C23-I23))</x:f>
      </x:c>
      <x:c r="L23" t="str">
        <x:f>FORDERUNGEN!K23</x:f>
      </x:c>
    </x:row>
    <x:row r="24" ht="21" customHeight="1">
      <x:c r="A24" t="n">
        <x:f>FORDERUNGEN!A24</x:f>
        <x:v>16</x:v>
      </x:c>
      <x:c r="B24" t="n">
        <x:f>FORDERUNGEN!B24</x:f>
        <x:v>0</x:v>
      </x:c>
      <x:c r="C24" s="88" t="str">
        <x:f>IF(FORDERUNGEN!K24="OK",FORDERUNGEN!E24,"")</x:f>
      </x:c>
      <x:c r="D24" s="86" t="str">
        <x:f>IF(FORDERUNGEN!K24="OK",FORDERUNGEN!F24,"")</x:f>
      </x:c>
      <x:c r="E24" s="88" t="str">
        <x:f>IF(FORDERUNGEN!K24="OK",FORDERUNGEN!G24,"")</x:f>
      </x:c>
      <x:c r="F24" t="str">
        <x:f>FORDERUNGEN!L24</x:f>
      </x:c>
      <x:c r="G24" t="str">
        <x:f>FORDERUNGEN!M24</x:f>
      </x:c>
      <x:c r="H24" s="88" t="str">
        <x:f>IF(F24="","",INDEX(SCHNEEBALL!$I$40:$I$1479,(STEUERUNG!$B$13-1)*20+F24))</x:f>
      </x:c>
      <x:c r="I24" s="88" t="str">
        <x:f>IF(G24="","",INDEX('ZINS-LAWINE'!$I$40:$I$1479,(STEUERUNG!$B$13-1)*20+G24))</x:f>
      </x:c>
      <x:c r="J24" s="88" t="str">
        <x:f>IF(H24="","",MAX(0,C24-H24))</x:f>
      </x:c>
      <x:c r="K24" s="88" t="str">
        <x:f>IF(I24="","",MAX(0,C24-I24))</x:f>
      </x:c>
      <x:c r="L24" t="str">
        <x:f>FORDERUNGEN!K24</x:f>
      </x:c>
    </x:row>
    <x:row r="25" ht="21" customHeight="1">
      <x:c r="A25" t="n">
        <x:f>FORDERUNGEN!A25</x:f>
        <x:v>17</x:v>
      </x:c>
      <x:c r="B25" t="n">
        <x:f>FORDERUNGEN!B25</x:f>
        <x:v>0</x:v>
      </x:c>
      <x:c r="C25" s="88" t="str">
        <x:f>IF(FORDERUNGEN!K25="OK",FORDERUNGEN!E25,"")</x:f>
      </x:c>
      <x:c r="D25" s="86" t="str">
        <x:f>IF(FORDERUNGEN!K25="OK",FORDERUNGEN!F25,"")</x:f>
      </x:c>
      <x:c r="E25" s="88" t="str">
        <x:f>IF(FORDERUNGEN!K25="OK",FORDERUNGEN!G25,"")</x:f>
      </x:c>
      <x:c r="F25" t="str">
        <x:f>FORDERUNGEN!L25</x:f>
      </x:c>
      <x:c r="G25" t="str">
        <x:f>FORDERUNGEN!M25</x:f>
      </x:c>
      <x:c r="H25" s="88" t="str">
        <x:f>IF(F25="","",INDEX(SCHNEEBALL!$I$40:$I$1479,(STEUERUNG!$B$13-1)*20+F25))</x:f>
      </x:c>
      <x:c r="I25" s="88" t="str">
        <x:f>IF(G25="","",INDEX('ZINS-LAWINE'!$I$40:$I$1479,(STEUERUNG!$B$13-1)*20+G25))</x:f>
      </x:c>
      <x:c r="J25" s="88" t="str">
        <x:f>IF(H25="","",MAX(0,C25-H25))</x:f>
      </x:c>
      <x:c r="K25" s="88" t="str">
        <x:f>IF(I25="","",MAX(0,C25-I25))</x:f>
      </x:c>
      <x:c r="L25" t="str">
        <x:f>FORDERUNGEN!K25</x:f>
      </x:c>
    </x:row>
    <x:row r="26" ht="21" customHeight="1">
      <x:c r="A26" t="n">
        <x:f>FORDERUNGEN!A26</x:f>
        <x:v>18</x:v>
      </x:c>
      <x:c r="B26" t="n">
        <x:f>FORDERUNGEN!B26</x:f>
        <x:v>0</x:v>
      </x:c>
      <x:c r="C26" s="88" t="str">
        <x:f>IF(FORDERUNGEN!K26="OK",FORDERUNGEN!E26,"")</x:f>
      </x:c>
      <x:c r="D26" s="86" t="str">
        <x:f>IF(FORDERUNGEN!K26="OK",FORDERUNGEN!F26,"")</x:f>
      </x:c>
      <x:c r="E26" s="88" t="str">
        <x:f>IF(FORDERUNGEN!K26="OK",FORDERUNGEN!G26,"")</x:f>
      </x:c>
      <x:c r="F26" t="str">
        <x:f>FORDERUNGEN!L26</x:f>
      </x:c>
      <x:c r="G26" t="str">
        <x:f>FORDERUNGEN!M26</x:f>
      </x:c>
      <x:c r="H26" s="88" t="str">
        <x:f>IF(F26="","",INDEX(SCHNEEBALL!$I$40:$I$1479,(STEUERUNG!$B$13-1)*20+F26))</x:f>
      </x:c>
      <x:c r="I26" s="88" t="str">
        <x:f>IF(G26="","",INDEX('ZINS-LAWINE'!$I$40:$I$1479,(STEUERUNG!$B$13-1)*20+G26))</x:f>
      </x:c>
      <x:c r="J26" s="88" t="str">
        <x:f>IF(H26="","",MAX(0,C26-H26))</x:f>
      </x:c>
      <x:c r="K26" s="88" t="str">
        <x:f>IF(I26="","",MAX(0,C26-I26))</x:f>
      </x:c>
      <x:c r="L26" t="str">
        <x:f>FORDERUNGEN!K26</x:f>
      </x:c>
    </x:row>
    <x:row r="27" ht="21" customHeight="1">
      <x:c r="A27" t="n">
        <x:f>FORDERUNGEN!A27</x:f>
        <x:v>19</x:v>
      </x:c>
      <x:c r="B27" t="n">
        <x:f>FORDERUNGEN!B27</x:f>
        <x:v>0</x:v>
      </x:c>
      <x:c r="C27" s="88" t="str">
        <x:f>IF(FORDERUNGEN!K27="OK",FORDERUNGEN!E27,"")</x:f>
      </x:c>
      <x:c r="D27" s="86" t="str">
        <x:f>IF(FORDERUNGEN!K27="OK",FORDERUNGEN!F27,"")</x:f>
      </x:c>
      <x:c r="E27" s="88" t="str">
        <x:f>IF(FORDERUNGEN!K27="OK",FORDERUNGEN!G27,"")</x:f>
      </x:c>
      <x:c r="F27" t="str">
        <x:f>FORDERUNGEN!L27</x:f>
      </x:c>
      <x:c r="G27" t="str">
        <x:f>FORDERUNGEN!M27</x:f>
      </x:c>
      <x:c r="H27" s="88" t="str">
        <x:f>IF(F27="","",INDEX(SCHNEEBALL!$I$40:$I$1479,(STEUERUNG!$B$13-1)*20+F27))</x:f>
      </x:c>
      <x:c r="I27" s="88" t="str">
        <x:f>IF(G27="","",INDEX('ZINS-LAWINE'!$I$40:$I$1479,(STEUERUNG!$B$13-1)*20+G27))</x:f>
      </x:c>
      <x:c r="J27" s="88" t="str">
        <x:f>IF(H27="","",MAX(0,C27-H27))</x:f>
      </x:c>
      <x:c r="K27" s="88" t="str">
        <x:f>IF(I27="","",MAX(0,C27-I27))</x:f>
      </x:c>
      <x:c r="L27" t="str">
        <x:f>FORDERUNGEN!K27</x:f>
      </x:c>
    </x:row>
    <x:row r="28" ht="21" customHeight="1">
      <x:c r="A28" t="n">
        <x:f>FORDERUNGEN!A28</x:f>
        <x:v>20</x:v>
      </x:c>
      <x:c r="B28" t="n">
        <x:f>FORDERUNGEN!B28</x:f>
        <x:v>0</x:v>
      </x:c>
      <x:c r="C28" s="88" t="str">
        <x:f>IF(FORDERUNGEN!K28="OK",FORDERUNGEN!E28,"")</x:f>
      </x:c>
      <x:c r="D28" s="86" t="str">
        <x:f>IF(FORDERUNGEN!K28="OK",FORDERUNGEN!F28,"")</x:f>
      </x:c>
      <x:c r="E28" s="88" t="str">
        <x:f>IF(FORDERUNGEN!K28="OK",FORDERUNGEN!G28,"")</x:f>
      </x:c>
      <x:c r="F28" t="n">
        <x:f>FORDERUNGEN!L28</x:f>
        <x:v>0</x:v>
      </x:c>
      <x:c r="G28" t="n">
        <x:f>FORDERUNGEN!M28</x:f>
        <x:v>0</x:v>
      </x:c>
      <x:c r="H28" s="88" t="str">
        <x:f>IF(F28="","",INDEX(SCHNEEBALL!$I$40:$I$1479,(STEUERUNG!$B$13-1)*20+F28))</x:f>
      </x:c>
      <x:c r="I28" s="88" t="str">
        <x:f>IF(G28="","",INDEX('ZINS-LAWINE'!$I$40:$I$1479,(STEUERUNG!$B$13-1)*20+G28))</x:f>
      </x:c>
      <x:c r="J28" s="88" t="str">
        <x:f>IF(H28="","",MAX(0,C28-H28))</x:f>
      </x:c>
      <x:c r="K28" s="88" t="str">
        <x:f>IF(I28="","",MAX(0,C28-I28))</x:f>
      </x:c>
      <x:c r="L28" t="n">
        <x:f>FORDERUNGEN!K28</x:f>
        <x:v>0</x:v>
      </x:c>
    </x:row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  <x:row r="36" ht="21" customHeight="1"/>
    <x:row r="37" ht="29" customHeight="1">
      <x:c r="A37" s="16" t="str">
        <x:v>GEWÄHLTER MONAT &amp; INHALTLICHE EINORDNUNG</x:v>
      </x:c>
      <x:c r="B37" s="16"/>
      <x:c r="C37" s="16"/>
      <x:c r="D37" s="16"/>
      <x:c r="E37" s="16"/>
      <x:c r="F37" s="16"/>
      <x:c r="G37" s="16"/>
      <x:c r="H37" s="16"/>
      <x:c r="I37" s="16"/>
      <x:c r="J37" s="16"/>
      <x:c r="K37" s="16"/>
      <x:c r="L37" s="16"/>
    </x:row>
    <x:row r="38" ht="21" customHeight="1"/>
    <x:row r="39" ht="21" customHeight="1">
      <x:c r="A39" t="str">
        <x:v>Auswertung zum Monatsende</x:v>
      </x:c>
      <x:c r="E39" s="80" t="n">
        <x:f>INDEX(MONATSBUDGET!$A$9:$A$80,STEUERUNG!$B$13)</x:f>
        <x:v>46266</x:v>
      </x:c>
    </x:row>
    <x:row r="40" ht="21" customHeight="1"/>
    <x:row r="41" ht="21" customHeight="1"/>
    <x:row r="42" ht="40" customHeight="1">
      <x:c r="A42" s="37" t="str">
        <x:v>Getilgt = Anfangssaldo minus Restschuld. Bei auflaufenden Zinsen kann die Zahl kleiner als 0 sein; deshalb wird hier bewusst höchstens 0 als Tilgungsfortschritt gezeigt.</x:v>
      </x:c>
      <x:c r="B42" s="37"/>
      <x:c r="C42" s="37"/>
      <x:c r="D42" s="37"/>
      <x:c r="E42" s="37"/>
      <x:c r="F42" s="37"/>
      <x:c r="G42" s="37"/>
      <x:c r="H42" s="37"/>
      <x:c r="I42" s="37"/>
      <x:c r="J42" s="37"/>
      <x:c r="K42" s="37"/>
      <x:c r="L42" s="37"/>
    </x:row>
    <x:row r="43" ht="21" customHeight="1"/>
    <x:row r="44" ht="21" customHeight="1"/>
    <x:row r="45" ht="40" customHeight="1">
      <x:c r="A45" s="37" t="str">
        <x:v>Kein Ist-Buchungsjournal: Für tatsächlich bezahlte Raten, Zahlungseingänge und veränderte Forderungsstände verwende eine separate Schuldenübersicht. Hier werden nur Zukunftsszenarien modelliert.</x:v>
      </x:c>
      <x:c r="B45" s="37"/>
      <x:c r="C45" s="37"/>
      <x:c r="D45" s="37"/>
      <x:c r="E45" s="37"/>
      <x:c r="F45" s="37"/>
      <x:c r="G45" s="37"/>
      <x:c r="H45" s="37"/>
      <x:c r="I45" s="37"/>
      <x:c r="J45" s="37"/>
      <x:c r="K45" s="37"/>
      <x:c r="L45" s="37"/>
    </x:row>
    <x:row r="46" ht="21" customHeight="1"/>
    <x:row r="47" ht="21" customHeight="1"/>
    <x:row r="48" ht="21" customHeight="1"/>
    <x:row r="49" ht="21" customHeight="1"/>
    <x:row r="50" ht="21" customHeight="1"/>
  </x:sheetData>
  <x:mergeCells>
    <x:mergeCell ref="A1:L2"/>
    <x:mergeCell ref="A3:L3"/>
    <x:mergeCell ref="A5:L5"/>
    <x:mergeCell ref="A37:L37"/>
    <x:mergeCell ref="A39:D39"/>
    <x:mergeCell ref="A42:L42"/>
    <x:mergeCell ref="A45:L45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23" hidden="0" customWidth="1"/>
  </x:cols>
  <x:sheetData>
    <x:row r="1" ht="29" customHeight="1">
      <x:c r="A1" s="4" t="str">
        <x:v>NURGELD.DE  /  HILFE &amp; METHODIK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8" customHeight="1">
      <x:c r="A3" s="10" t="str">
        <x:v>BEDIENUNG  ·  ANNAHMEN  ·  GRENZEN  ·  LOKALE DATENVERARBEITUNG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4" ht="21" customHeight="1"/>
    <x:row r="5" ht="29" customHeight="1">
      <x:c r="A5" s="16" t="str">
        <x:v>DIE ZWEI STRATEGIEN  ·  IDENTISCHE FINANZIELLE AUSGANGSLAGE</x:v>
      </x:c>
      <x:c r="B5" s="16"/>
      <x:c r="C5" s="16"/>
      <x:c r="D5" s="16"/>
      <x:c r="E5" s="16"/>
      <x:c r="F5" s="16"/>
      <x:c r="G5" s="16"/>
      <x:c r="H5" s="16"/>
      <x:c r="I5" s="16"/>
      <x:c r="J5" s="16"/>
      <x:c r="K5" s="16"/>
      <x:c r="L5" s="16"/>
    </x:row>
    <x:row r="6" ht="21" customHeight="1"/>
    <x:row r="7" ht="21" customHeight="1">
      <x:c r="A7" s="23" t="str">
        <x:v>Schneeball</x:v>
      </x:c>
      <x:c r="B7" s="23"/>
      <x:c r="C7" s="23"/>
      <x:c r="D7" s="31" t="str">
        <x:v>Nach den vereinbarten Mindestraten geht das freie monatliche Geld an den kleinsten ursprünglichen Startsaldo. Bei gleichem Saldo entscheidet die niedrigere ID.</x:v>
      </x:c>
      <x:c r="E7" s="31"/>
      <x:c r="F7" s="31"/>
      <x:c r="G7" s="31"/>
      <x:c r="H7" s="31"/>
      <x:c r="I7" s="31"/>
      <x:c r="J7" s="31"/>
      <x:c r="K7" s="31"/>
      <x:c r="L7" s="31"/>
    </x:row>
    <x:row r="8" ht="21" customHeight="1">
      <x:c r="A8" s="23"/>
      <x:c r="B8" s="23"/>
      <x:c r="C8" s="23"/>
      <x:c r="D8" s="31"/>
      <x:c r="E8" s="31"/>
      <x:c r="F8" s="31"/>
      <x:c r="G8" s="31"/>
      <x:c r="H8" s="31"/>
      <x:c r="I8" s="31"/>
      <x:c r="J8" s="31"/>
      <x:c r="K8" s="31"/>
      <x:c r="L8" s="31"/>
    </x:row>
    <x:row r="9" ht="21" customHeight="1"/>
    <x:row r="10" ht="21" customHeight="1"/>
    <x:row r="11" ht="21" customHeight="1">
      <x:c r="A11" s="23" t="str">
        <x:v>Zins-Lawine</x:v>
      </x:c>
      <x:c r="B11" s="23"/>
      <x:c r="C11" s="23"/>
      <x:c r="D11" s="31" t="str">
        <x:v>Nach den vereinbarten Mindestraten geht das freie monatliche Geld an die Forderung mit dem höchsten eingetragenen Jahreszins. Bei gleichem Zins entscheidet die niedrigere ID.</x:v>
      </x:c>
      <x:c r="E11" s="31"/>
      <x:c r="F11" s="31"/>
      <x:c r="G11" s="31"/>
      <x:c r="H11" s="31"/>
      <x:c r="I11" s="31"/>
      <x:c r="J11" s="31"/>
      <x:c r="K11" s="31"/>
      <x:c r="L11" s="31"/>
    </x:row>
    <x:row r="12" ht="21" customHeight="1">
      <x:c r="A12" s="23"/>
      <x:c r="B12" s="23"/>
      <x:c r="C12" s="23"/>
      <x:c r="D12" s="31"/>
      <x:c r="E12" s="31"/>
      <x:c r="F12" s="31"/>
      <x:c r="G12" s="31"/>
      <x:c r="H12" s="31"/>
      <x:c r="I12" s="31"/>
      <x:c r="J12" s="31"/>
      <x:c r="K12" s="31"/>
      <x:c r="L12" s="31"/>
    </x:row>
    <x:row r="13" ht="21" customHeight="1"/>
    <x:row r="14" ht="21" customHeight="1"/>
    <x:row r="15" ht="21" customHeight="1">
      <x:c r="A15" s="23" t="str">
        <x:v>Frei werdende Beträge</x:v>
      </x:c>
      <x:c r="B15" s="23"/>
      <x:c r="C15" s="23"/>
      <x:c r="D15" s="31" t="str">
        <x:v>Das Monatsbudget bleibt ein fester Gesamtbetrag, nicht eine Rate pro Forderung. Wenn eine Schuld erledigt ist, geht das frei werdende Geld an die nächste Position derselben Prioritätenfolge.</x:v>
      </x:c>
      <x:c r="E15" s="31"/>
      <x:c r="F15" s="31"/>
      <x:c r="G15" s="31"/>
      <x:c r="H15" s="31"/>
      <x:c r="I15" s="31"/>
      <x:c r="J15" s="31"/>
      <x:c r="K15" s="31"/>
      <x:c r="L15" s="31"/>
    </x:row>
    <x:row r="16" ht="21" customHeight="1">
      <x:c r="A16" s="23"/>
      <x:c r="B16" s="23"/>
      <x:c r="C16" s="23"/>
      <x:c r="D16" s="31"/>
      <x:c r="E16" s="31"/>
      <x:c r="F16" s="31"/>
      <x:c r="G16" s="31"/>
      <x:c r="H16" s="31"/>
      <x:c r="I16" s="31"/>
      <x:c r="J16" s="31"/>
      <x:c r="K16" s="31"/>
      <x:c r="L16" s="31"/>
    </x:row>
    <x:row r="17" ht="21" customHeight="1"/>
    <x:row r="18" ht="21" customHeight="1"/>
    <x:row r="19" ht="21" customHeight="1">
      <x:c r="A19" s="23" t="str">
        <x:v>Mindestzahlung</x:v>
      </x:c>
      <x:c r="B19" s="23"/>
      <x:c r="C19" s="23"/>
      <x:c r="D19" s="31" t="str">
        <x:v>Jede bestätigte Forderung erhält ihre eingetragene Mindestrate, höchstens Saldo plus Monatszins. Liegt die Summe über dem Budget, wird der Monat als nicht finanzierbar gekennzeichnet.</x:v>
      </x:c>
      <x:c r="E19" s="31"/>
      <x:c r="F19" s="31"/>
      <x:c r="G19" s="31"/>
      <x:c r="H19" s="31"/>
      <x:c r="I19" s="31"/>
      <x:c r="J19" s="31"/>
      <x:c r="K19" s="31"/>
      <x:c r="L19" s="31"/>
    </x:row>
    <x:row r="20" ht="21" customHeight="1">
      <x:c r="A20" s="23"/>
      <x:c r="B20" s="23"/>
      <x:c r="C20" s="23"/>
      <x:c r="D20" s="31"/>
      <x:c r="E20" s="31"/>
      <x:c r="F20" s="31"/>
      <x:c r="G20" s="31"/>
      <x:c r="H20" s="31"/>
      <x:c r="I20" s="31"/>
      <x:c r="J20" s="31"/>
      <x:c r="K20" s="31"/>
      <x:c r="L20" s="31"/>
    </x:row>
    <x:row r="21" ht="21" customHeight="1"/>
    <x:row r="22" ht="21" customHeight="1"/>
    <x:row r="23" ht="21" customHeight="1">
      <x:c r="A23" s="23" t="str">
        <x:v>Sonderzahlungen</x:v>
      </x:c>
      <x:c r="B23" s="23"/>
      <x:c r="C23" s="23"/>
      <x:c r="D23" s="31" t="str">
        <x:v>Extra-Mittel außerhalb des Monatsbudgets gehen nur an die ausgewählte Gläubiger-ID. Wenn deren Saldo vorher getilgt wurde, wird der nicht benötigte Sonderbetrag separat ausgewiesen.</x:v>
      </x:c>
      <x:c r="E23" s="31"/>
      <x:c r="F23" s="31"/>
      <x:c r="G23" s="31"/>
      <x:c r="H23" s="31"/>
      <x:c r="I23" s="31"/>
      <x:c r="J23" s="31"/>
      <x:c r="K23" s="31"/>
      <x:c r="L23" s="31"/>
    </x:row>
    <x:row r="24" ht="21" customHeight="1">
      <x:c r="A24" s="23"/>
      <x:c r="B24" s="23"/>
      <x:c r="C24" s="23"/>
      <x:c r="D24" s="31"/>
      <x:c r="E24" s="31"/>
      <x:c r="F24" s="31"/>
      <x:c r="G24" s="31"/>
      <x:c r="H24" s="31"/>
      <x:c r="I24" s="31"/>
      <x:c r="J24" s="31"/>
      <x:c r="K24" s="31"/>
      <x:c r="L24" s="31"/>
    </x:row>
    <x:row r="25" ht="21" customHeight="1"/>
    <x:row r="26" ht="21" customHeight="1"/>
    <x:row r="27" ht="21" customHeight="1">
      <x:c r="A27" s="23" t="str">
        <x:v>Zinsen und Rundung</x:v>
      </x:c>
      <x:c r="B27" s="23"/>
      <x:c r="C27" s="23"/>
      <x:c r="D27" s="31" t="str">
        <x:v>Monatlicher Zins = auf 2 Nachkommastellen gerundeter Anfangssaldo × nominaler Jahreszins / 12. Die Berechnung unterstellt konstante Zinsen und regelmäßige Monatsperioden.</x:v>
      </x:c>
      <x:c r="E27" s="31"/>
      <x:c r="F27" s="31"/>
      <x:c r="G27" s="31"/>
      <x:c r="H27" s="31"/>
      <x:c r="I27" s="31"/>
      <x:c r="J27" s="31"/>
      <x:c r="K27" s="31"/>
      <x:c r="L27" s="31"/>
    </x:row>
    <x:row r="28" ht="21" customHeight="1">
      <x:c r="A28" s="23"/>
      <x:c r="B28" s="23"/>
      <x:c r="C28" s="23"/>
      <x:c r="D28" s="31"/>
      <x:c r="E28" s="31"/>
      <x:c r="F28" s="31"/>
      <x:c r="G28" s="31"/>
      <x:c r="H28" s="31"/>
      <x:c r="I28" s="31"/>
      <x:c r="J28" s="31"/>
      <x:c r="K28" s="31"/>
      <x:c r="L28" s="31"/>
    </x:row>
    <x:row r="29" ht="21" customHeight="1"/>
    <x:row r="30" ht="21" customHeight="1"/>
    <x:row r="31" ht="21" customHeight="1">
      <x:c r="A31" s="23" t="str">
        <x:v>Keine versteckten Kosten</x:v>
      </x:c>
      <x:c r="B31" s="23"/>
      <x:c r="C31" s="23"/>
      <x:c r="D31" s="31" t="str">
        <x:v>Mahnauslagen, neue Gebühren, Inkassokosten, Zinsänderungen, Forderungsnachlässe, Zinsstopps und sonstige vertragliche Besonderheiten werden NICHT automatisch berechnet.</x:v>
      </x:c>
      <x:c r="E31" s="31"/>
      <x:c r="F31" s="31"/>
      <x:c r="G31" s="31"/>
      <x:c r="H31" s="31"/>
      <x:c r="I31" s="31"/>
      <x:c r="J31" s="31"/>
      <x:c r="K31" s="31"/>
      <x:c r="L31" s="31"/>
    </x:row>
    <x:row r="32" ht="21" customHeight="1">
      <x:c r="A32" s="23"/>
      <x:c r="B32" s="23"/>
      <x:c r="C32" s="23"/>
      <x:c r="D32" s="31"/>
      <x:c r="E32" s="31"/>
      <x:c r="F32" s="31"/>
      <x:c r="G32" s="31"/>
      <x:c r="H32" s="31"/>
      <x:c r="I32" s="31"/>
      <x:c r="J32" s="31"/>
      <x:c r="K32" s="31"/>
      <x:c r="L32" s="31"/>
    </x:row>
    <x:row r="33" ht="21" customHeight="1"/>
    <x:row r="34" ht="21" customHeight="1"/>
    <x:row r="35" ht="21" customHeight="1">
      <x:c r="A35" s="23" t="str">
        <x:v>Status &amp; Einbeziehung</x:v>
      </x:c>
      <x:c r="B35" s="23"/>
      <x:c r="C35" s="23"/>
      <x:c r="D35" s="31" t="str">
        <x:v>Nur bestätigte Forderungen mit „Ja“, positivem Startsaldo und vollständigen Werten zählen. „Ungeprüft“ und „Bestritten“ bleiben in der Liste sichtbar, aber aus beiden Simulationen heraus.</x:v>
      </x:c>
      <x:c r="E35" s="31"/>
      <x:c r="F35" s="31"/>
      <x:c r="G35" s="31"/>
      <x:c r="H35" s="31"/>
      <x:c r="I35" s="31"/>
      <x:c r="J35" s="31"/>
      <x:c r="K35" s="31"/>
      <x:c r="L35" s="31"/>
    </x:row>
    <x:row r="36" ht="21" customHeight="1">
      <x:c r="A36" s="23"/>
      <x:c r="B36" s="23"/>
      <x:c r="C36" s="23"/>
      <x:c r="D36" s="31"/>
      <x:c r="E36" s="31"/>
      <x:c r="F36" s="31"/>
      <x:c r="G36" s="31"/>
      <x:c r="H36" s="31"/>
      <x:c r="I36" s="31"/>
      <x:c r="J36" s="31"/>
      <x:c r="K36" s="31"/>
      <x:c r="L36" s="31"/>
    </x:row>
    <x:row r="37" ht="21" customHeight="1"/>
    <x:row r="38" ht="21" customHeight="1"/>
    <x:row r="39" ht="21" customHeight="1">
      <x:c r="A39" s="23" t="str">
        <x:v>Abweichende Monatsbudgets</x:v>
      </x:c>
      <x:c r="B39" s="23"/>
      <x:c r="C39" s="23"/>
      <x:c r="D39" s="31" t="str">
        <x:v>Blaues Feld B im MONATSBUDGET überschreibt für genau diesen Monat das Grundbudget. Auch 0 € ist als tatsächlich fehlende finanzielle Verfügbarkeit zulässig; die Planlücke erscheint separat.</x:v>
      </x:c>
      <x:c r="E39" s="31"/>
      <x:c r="F39" s="31"/>
      <x:c r="G39" s="31"/>
      <x:c r="H39" s="31"/>
      <x:c r="I39" s="31"/>
      <x:c r="J39" s="31"/>
      <x:c r="K39" s="31"/>
      <x:c r="L39" s="31"/>
    </x:row>
    <x:row r="40" ht="21" customHeight="1">
      <x:c r="A40" s="23"/>
      <x:c r="B40" s="23"/>
      <x:c r="C40" s="23"/>
      <x:c r="D40" s="31"/>
      <x:c r="E40" s="31"/>
      <x:c r="F40" s="31"/>
      <x:c r="G40" s="31"/>
      <x:c r="H40" s="31"/>
      <x:c r="I40" s="31"/>
      <x:c r="J40" s="31"/>
      <x:c r="K40" s="31"/>
      <x:c r="L40" s="31"/>
    </x:row>
    <x:row r="41" ht="21" customHeight="1"/>
    <x:row r="42" ht="21" customHeight="1"/>
    <x:row r="43" ht="21" customHeight="1">
      <x:c r="A43" s="23" t="str">
        <x:v>Planungshorizont</x:v>
      </x:c>
      <x:c r="B43" s="23"/>
      <x:c r="C43" s="23"/>
      <x:c r="D43" s="31" t="str">
        <x:v>Der Plan zeigt bis zu 72 Monate ab Start. Restschulden am Ende und unfinanzierbare Perioden werden offengelegt. Nach 72 Monaten wird keine Schuldentilgungsfrist behauptet.</x:v>
      </x:c>
      <x:c r="E43" s="31"/>
      <x:c r="F43" s="31"/>
      <x:c r="G43" s="31"/>
      <x:c r="H43" s="31"/>
      <x:c r="I43" s="31"/>
      <x:c r="J43" s="31"/>
      <x:c r="K43" s="31"/>
      <x:c r="L43" s="31"/>
    </x:row>
    <x:row r="44" ht="21" customHeight="1">
      <x:c r="A44" s="23"/>
      <x:c r="B44" s="23"/>
      <x:c r="C44" s="23"/>
      <x:c r="D44" s="31"/>
      <x:c r="E44" s="31"/>
      <x:c r="F44" s="31"/>
      <x:c r="G44" s="31"/>
      <x:c r="H44" s="31"/>
      <x:c r="I44" s="31"/>
      <x:c r="J44" s="31"/>
      <x:c r="K44" s="31"/>
      <x:c r="L44" s="31"/>
    </x:row>
    <x:row r="45" ht="21" customHeight="1"/>
    <x:row r="46" ht="21" customHeight="1"/>
    <x:row r="47" ht="21" customHeight="1">
      <x:c r="A47" s="23" t="str">
        <x:v>Tatsächlich bezahlte Beträge</x:v>
      </x:c>
      <x:c r="B47" s="23"/>
      <x:c r="C47" s="23"/>
      <x:c r="D47" s="31" t="str">
        <x:v>Das Werkzeug ist eine Projektion, kein Buchungssystem. Mit jedem neuen Planstart aktualisierte Salden und Raten sorgfältig übernehmen. Nicht als Zahlungsbeleg oder rechtsverbindliche Forderungsberechnung nutzen.</x:v>
      </x:c>
      <x:c r="E47" s="31"/>
      <x:c r="F47" s="31"/>
      <x:c r="G47" s="31"/>
      <x:c r="H47" s="31"/>
      <x:c r="I47" s="31"/>
      <x:c r="J47" s="31"/>
      <x:c r="K47" s="31"/>
      <x:c r="L47" s="31"/>
    </x:row>
    <x:row r="48" ht="21" customHeight="1">
      <x:c r="A48" s="23"/>
      <x:c r="B48" s="23"/>
      <x:c r="C48" s="23"/>
      <x:c r="D48" s="31"/>
      <x:c r="E48" s="31"/>
      <x:c r="F48" s="31"/>
      <x:c r="G48" s="31"/>
      <x:c r="H48" s="31"/>
      <x:c r="I48" s="31"/>
      <x:c r="J48" s="31"/>
      <x:c r="K48" s="31"/>
      <x:c r="L48" s="31"/>
    </x:row>
    <x:row r="49" ht="21" customHeight="1"/>
    <x:row r="50" ht="21" customHeight="1"/>
    <x:row r="51" ht="21" customHeight="1">
      <x:c r="A51" s="23" t="str">
        <x:v>Unabhängige Hilfe</x:v>
      </x:c>
      <x:c r="B51" s="23"/>
      <x:c r="C51" s="23"/>
      <x:c r="D51" s="31" t="str">
        <x:v>Bei Miet-, Energie- oder Lebensunterhaltsgefährdung oder wenn die Summe der Mindestzahlungen nicht finanzierbar ist, frühzeitig eine anerkannte Schuldnerberatung kontaktieren.</x:v>
      </x:c>
      <x:c r="E51" s="31"/>
      <x:c r="F51" s="31"/>
      <x:c r="G51" s="31"/>
      <x:c r="H51" s="31"/>
      <x:c r="I51" s="31"/>
      <x:c r="J51" s="31"/>
      <x:c r="K51" s="31"/>
      <x:c r="L51" s="31"/>
    </x:row>
    <x:row r="52" ht="21" customHeight="1">
      <x:c r="A52" s="23"/>
      <x:c r="B52" s="23"/>
      <x:c r="C52" s="23"/>
      <x:c r="D52" s="31"/>
      <x:c r="E52" s="31"/>
      <x:c r="F52" s="31"/>
      <x:c r="G52" s="31"/>
      <x:c r="H52" s="31"/>
      <x:c r="I52" s="31"/>
      <x:c r="J52" s="31"/>
      <x:c r="K52" s="31"/>
      <x:c r="L52" s="31"/>
    </x:row>
    <x:row r="53" ht="21" customHeight="1"/>
    <x:row r="54" ht="21" customHeight="1"/>
    <x:row r="55" ht="21" customHeight="1">
      <x:c r="A55" s="23" t="str">
        <x:v>Datenschutz</x:v>
      </x:c>
      <x:c r="B55" s="23"/>
      <x:c r="C55" s="23"/>
      <x:c r="D55" s="31" t="str">
        <x:v>Datei ohne Makros und ohne Live-Bankverbindung. Möglichst Kürzel statt vollständige Namen nutzen, keine Zugangsdaten speichern, vor Weitergabe anonymisieren.</x:v>
      </x:c>
      <x:c r="E55" s="31"/>
      <x:c r="F55" s="31"/>
      <x:c r="G55" s="31"/>
      <x:c r="H55" s="31"/>
      <x:c r="I55" s="31"/>
      <x:c r="J55" s="31"/>
      <x:c r="K55" s="31"/>
      <x:c r="L55" s="31"/>
    </x:row>
    <x:row r="56" ht="21" customHeight="1">
      <x:c r="A56" s="23"/>
      <x:c r="B56" s="23"/>
      <x:c r="C56" s="23"/>
      <x:c r="D56" s="31"/>
      <x:c r="E56" s="31"/>
      <x:c r="F56" s="31"/>
      <x:c r="G56" s="31"/>
      <x:c r="H56" s="31"/>
      <x:c r="I56" s="31"/>
      <x:c r="J56" s="31"/>
      <x:c r="K56" s="31"/>
      <x:c r="L56" s="31"/>
    </x:row>
    <x:row r="57" ht="21" customHeight="1"/>
    <x:row r="58" ht="21" customHeight="1"/>
    <x:row r="59" ht="21" customHeight="1"/>
    <x:row r="60" ht="29" customHeight="1">
      <x:c r="A60" s="16" t="str">
        <x:v>TRANSPARENZ &amp; ORIENTIERUNG</x:v>
      </x:c>
      <x:c r="B60" s="16"/>
      <x:c r="C60" s="16"/>
      <x:c r="D60" s="16"/>
      <x:c r="E60" s="16"/>
      <x:c r="F60" s="16"/>
      <x:c r="G60" s="16"/>
      <x:c r="H60" s="16"/>
      <x:c r="I60" s="16"/>
      <x:c r="J60" s="16"/>
      <x:c r="K60" s="16"/>
      <x:c r="L60" s="16"/>
    </x:row>
    <x:row r="61" ht="21" customHeight="1"/>
    <x:row r="62" ht="38" customHeight="1">
      <x:c r="A62" s="37" t="str">
        <x:v>Weitere Hilfen zur Schuldnerberatung und zum Umgang mit Zahlungsproblemen findest Du bei den Verbraucherzentralen und anerkannten Schuldnerberatungsstellen.</x:v>
      </x:c>
      <x:c r="B62" s="37"/>
      <x:c r="C62" s="37"/>
      <x:c r="D62" s="37"/>
      <x:c r="E62" s="37"/>
      <x:c r="F62" s="37"/>
      <x:c r="G62" s="37"/>
      <x:c r="H62" s="37"/>
      <x:c r="I62" s="37"/>
      <x:c r="J62" s="37"/>
      <x:c r="K62" s="37"/>
      <x:c r="L62" s="37"/>
    </x:row>
    <x:row r="63" ht="21" customHeight="1"/>
    <x:row r="64" ht="21" customHeight="1"/>
    <x:row r="65" ht="42" customHeight="1">
      <x:c r="A65" s="37" t="str">
        <x:v>Die modellierten Zinssätze, Salden, Raten und Sonderzahlungen stammen ausschließlich aus Deinen eigenen Eingaben; es gibt keine vorausgefüllten Zinssätze oder externen Annahmedaten.</x:v>
      </x:c>
      <x:c r="B65" s="37"/>
      <x:c r="C65" s="37"/>
      <x:c r="D65" s="37"/>
      <x:c r="E65" s="37"/>
      <x:c r="F65" s="37"/>
      <x:c r="G65" s="37"/>
      <x:c r="H65" s="37"/>
      <x:c r="I65" s="37"/>
      <x:c r="J65" s="37"/>
      <x:c r="K65" s="37"/>
      <x:c r="L65" s="37"/>
    </x:row>
    <x:row r="66" ht="21" customHeight="1"/>
    <x:row r="67" ht="21" customHeight="1"/>
    <x:row r="68" ht="41" customHeight="1">
      <x:c r="A68" s="37" t="str">
        <x:v>Wenn Du die Ergebnisse weitergibst: Es handelt sich um ein selbst erstelltes Szenario mit vereinfachter Monatszinsrechnung, nicht um eine Rechts-, Steuer- oder persönliche Finanzberatung.</x:v>
      </x:c>
      <x:c r="B68" s="37"/>
      <x:c r="C68" s="37"/>
      <x:c r="D68" s="37"/>
      <x:c r="E68" s="37"/>
      <x:c r="F68" s="37"/>
      <x:c r="G68" s="37"/>
      <x:c r="H68" s="37"/>
      <x:c r="I68" s="37"/>
      <x:c r="J68" s="37"/>
      <x:c r="K68" s="37"/>
      <x:c r="L68" s="37"/>
    </x:row>
    <x:row r="69" ht="21" customHeight="1"/>
    <x:row r="70" ht="21" customHeight="1"/>
    <x:row r="71" ht="21" customHeight="1"/>
    <x:row r="72" ht="29" customHeight="1">
      <x:c r="A72" s="16" t="str">
        <x:v>FARBLEGENDE &amp; ARBEITSABLAUF</x:v>
      </x:c>
      <x:c r="B72" s="16"/>
      <x:c r="C72" s="16"/>
      <x:c r="D72" s="16"/>
      <x:c r="E72" s="16"/>
      <x:c r="F72" s="16"/>
      <x:c r="G72" s="16"/>
      <x:c r="H72" s="16"/>
      <x:c r="I72" s="16"/>
      <x:c r="J72" s="16"/>
      <x:c r="K72" s="16"/>
      <x:c r="L72" s="16"/>
    </x:row>
    <x:row r="73" ht="21" customHeight="1"/>
    <x:row r="74" ht="35" customHeight="1">
      <x:c r="A74" s="37" t="str">
        <x:v>BLAU = bitte eingeben  ·  HELLGRAU = berechnet  ·  ROT/ORANGE = prüfen  ·  BORDEAUX = Abschnitt  ·  ROT = NurGeld.de-Akzent</x:v>
      </x:c>
      <x:c r="B74" s="37"/>
      <x:c r="C74" s="37"/>
      <x:c r="D74" s="37"/>
      <x:c r="E74" s="37"/>
      <x:c r="F74" s="37"/>
      <x:c r="G74" s="37"/>
      <x:c r="H74" s="37"/>
      <x:c r="I74" s="37"/>
      <x:c r="J74" s="37"/>
      <x:c r="K74" s="37"/>
      <x:c r="L74" s="37"/>
    </x:row>
    <x:row r="75" ht="21" customHeight="1"/>
    <x:row r="76" ht="21" customHeight="1"/>
    <x:row r="77" ht="37" customHeight="1">
      <x:c r="A77" s="37" t="str">
        <x:v>Reihenfolge der Blätter: START → STEUERUNG → FORDERUNGEN → MONATSBUDGET → SONDERZAHLUNGEN → COCKPIT → VERGLEICH / GLÄUBIGER-CHECK.</x:v>
      </x:c>
      <x:c r="B77" s="37"/>
      <x:c r="C77" s="37"/>
      <x:c r="D77" s="37"/>
      <x:c r="E77" s="37"/>
      <x:c r="F77" s="37"/>
      <x:c r="G77" s="37"/>
      <x:c r="H77" s="37"/>
      <x:c r="I77" s="37"/>
      <x:c r="J77" s="37"/>
      <x:c r="K77" s="37"/>
      <x:c r="L77" s="37"/>
    </x:row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</x:sheetData>
  <x:mergeCells>
    <x:mergeCell ref="A1:L2"/>
    <x:mergeCell ref="A3:L3"/>
    <x:mergeCell ref="A5:L5"/>
    <x:mergeCell ref="A7:C8"/>
    <x:mergeCell ref="D7:L8"/>
    <x:mergeCell ref="A11:C12"/>
    <x:mergeCell ref="D11:L12"/>
    <x:mergeCell ref="A15:C16"/>
    <x:mergeCell ref="D15:L16"/>
    <x:mergeCell ref="A19:C20"/>
    <x:mergeCell ref="D19:L20"/>
    <x:mergeCell ref="A23:C24"/>
    <x:mergeCell ref="D23:L24"/>
    <x:mergeCell ref="A27:C28"/>
    <x:mergeCell ref="D27:L28"/>
    <x:mergeCell ref="A31:C32"/>
    <x:mergeCell ref="D31:L32"/>
    <x:mergeCell ref="A35:C36"/>
    <x:mergeCell ref="D35:L36"/>
    <x:mergeCell ref="A39:C40"/>
    <x:mergeCell ref="D39:L40"/>
    <x:mergeCell ref="A43:C44"/>
    <x:mergeCell ref="D43:L44"/>
    <x:mergeCell ref="A47:C48"/>
    <x:mergeCell ref="D47:L48"/>
    <x:mergeCell ref="A51:C52"/>
    <x:mergeCell ref="D51:L52"/>
    <x:mergeCell ref="A55:C56"/>
    <x:mergeCell ref="D55:L56"/>
    <x:mergeCell ref="A60:L60"/>
    <x:mergeCell ref="A62:L62"/>
    <x:mergeCell ref="A65:L65"/>
    <x:mergeCell ref="A68:L68"/>
    <x:mergeCell ref="A72:L72"/>
    <x:mergeCell ref="A74:L74"/>
    <x:mergeCell ref="A77:L77"/>
  </x:mergeCells>
  <x:pageMargins left="0.7" right="0.7" top="0.75" bottom="0.75" header="0.3" footer="0.3"/>
</x:worksheet>
</file>